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500" windowHeight="4650" tabRatio="915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'CENTRALA'!$A$1:$F$64</definedName>
    <definedName name="_xlnm.Print_Area" localSheetId="3">'Dolnośląski'!$A$1:$F$64</definedName>
    <definedName name="_xlnm.Print_Area" localSheetId="4">'KujawskoPomorski'!$A$1:$F$64</definedName>
    <definedName name="_xlnm.Print_Area" localSheetId="5">'Lubelski'!$A$1:$F$64</definedName>
    <definedName name="_xlnm.Print_Area" localSheetId="6">'Lubuski'!$A$1:$F$64</definedName>
    <definedName name="_xlnm.Print_Area" localSheetId="7">'Łódzki'!$A$1:$F$64</definedName>
    <definedName name="_xlnm.Print_Area" localSheetId="8">'Małopolski'!$A$1:$F$64</definedName>
    <definedName name="_xlnm.Print_Area" localSheetId="9">'Mazowiecki'!$A$1:$F$64</definedName>
    <definedName name="_xlnm.Print_Area" localSheetId="0">'NFZ'!$A$1:$F$98</definedName>
    <definedName name="_xlnm.Print_Area" localSheetId="10">'Opolski'!$A$1:$F$64</definedName>
    <definedName name="_xlnm.Print_Area" localSheetId="11">'Podkarpacki'!$A$1:$F$64</definedName>
    <definedName name="_xlnm.Print_Area" localSheetId="12">'Podlaski'!$A$1:$F$64</definedName>
    <definedName name="_xlnm.Print_Area" localSheetId="13">'Pomorski'!$A$1:$F$64</definedName>
    <definedName name="_xlnm.Print_Area" localSheetId="2">'Razem OW'!$A$1:$F$64</definedName>
    <definedName name="_xlnm.Print_Area" localSheetId="14">'Śląski'!$A$1:$F$64</definedName>
    <definedName name="_xlnm.Print_Area" localSheetId="15">'Świętokrzyski'!$A$1:$F$64</definedName>
    <definedName name="_xlnm.Print_Area" localSheetId="16">'WarmińskoMazurski'!$A$1:$F$64</definedName>
    <definedName name="_xlnm.Print_Area" localSheetId="17">'Wielkopolski'!$A$1:$F$64</definedName>
    <definedName name="_xlnm.Print_Area" localSheetId="18">'Zachodniopomorski'!$A$1:$F$64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<sst xmlns="http://schemas.openxmlformats.org/spreadsheetml/2006/main" count="2420" uniqueCount="212">
  <si>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</si>
  <si>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</si>
  <si>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</si>
  <si>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</si>
  <si>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</si>
  <si>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</si>
  <si>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</si>
  <si>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</si>
  <si>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</si>
  <si>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</si>
  <si>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</si>
  <si>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</si>
  <si>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</si>
  <si>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</si>
  <si>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</si>
  <si>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</si>
  <si>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</si>
  <si>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</si>
  <si>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</si>
  <si>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</si>
  <si>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</si>
  <si>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</si>
  <si>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</si>
  <si>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</si>
  <si>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</si>
  <si>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</si>
  <si>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</si>
  <si>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</si>
  <si>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</si>
  <si>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</si>
  <si>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</si>
  <si>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</si>
  <si>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</si>
  <si>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</si>
  <si>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</si>
  <si>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</si>
  <si>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</si>
  <si>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</si>
  <si>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</si>
  <si>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</si>
  <si>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</si>
  <si>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</si>
  <si>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</si>
  <si>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</si>
  <si>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</si>
  <si>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</si>
  <si>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</si>
  <si>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</si>
  <si>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</si>
  <si>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</si>
  <si>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</si>
  <si>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</si>
  <si>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</si>
  <si>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</si>
  <si>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</si>
  <si>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</si>
  <si>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</si>
  <si>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</si>
  <si>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</si>
  <si>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</si>
  <si>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</si>
  <si>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</si>
  <si>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</si>
  <si>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</si>
  <si>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</si>
  <si>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</si>
  <si>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</si>
  <si>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</si>
  <si>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</si>
  <si>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</si>
  <si>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</si>
  <si>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</si>
  <si>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</si>
  <si>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</si>
  <si>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</si>
  <si>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</si>
  <si>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</si>
  <si>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</si>
  <si>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</si>
  <si>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</si>
  <si>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</si>
  <si>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</si>
  <si>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</si>
  <si>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</si>
  <si>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</si>
  <si>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</si>
  <si>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</si>
  <si>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</si>
  <si>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</si>
  <si>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</si>
  <si>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</si>
  <si>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</si>
  <si>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</si>
  <si>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</si>
  <si>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</si>
  <si>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</si>
  <si>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</si>
  <si>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</si>
  <si>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</si>
  <si>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</si>
  <si>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</si>
  <si>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</si>
  <si>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</si>
  <si>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</si>
  <si>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</si>
  <si>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</si>
  <si>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</si>
  <si>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</si>
  <si>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</si>
  <si>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</si>
  <si>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</si>
  <si>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</si>
  <si>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</si>
  <si>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</si>
  <si>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</si>
  <si>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</si>
  <si>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</si>
  <si>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</si>
  <si>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</si>
  <si>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</si>
  <si>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</si>
  <si>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</si>
  <si>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</si>
  <si>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</si>
  <si>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</si>
  <si>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</si>
  <si>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Wynik na działalności (A - B)</t>
  </si>
  <si>
    <t>Koszty realizacji zadań (B1 + B2 + B3 + B4)</t>
  </si>
  <si>
    <t>Koszty finansowe</t>
  </si>
  <si>
    <t>Wynik finansowy ogółem netto (K-L)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</si>
  <si>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</si>
  <si>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</si>
  <si>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</si>
  <si>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</si>
  <si>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</si>
  <si>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</si>
  <si>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</si>
  <si>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</si>
  <si>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</si>
  <si>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</si>
  <si>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</si>
  <si>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</si>
  <si>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</si>
  <si>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</si>
  <si>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</si>
  <si>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</si>
  <si>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</si>
  <si>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</si>
  <si>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</si>
  <si>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</si>
  <si>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</si>
  <si>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</si>
  <si>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</si>
  <si>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</si>
  <si>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</si>
  <si>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</si>
  <si>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</si>
  <si>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</si>
  <si>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</si>
  <si>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</si>
  <si>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</si>
  <si>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</si>
  <si>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</si>
  <si>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</si>
  <si>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</si>
  <si>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</si>
  <si>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</si>
  <si>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</si>
  <si>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</si>
  <si>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</si>
  <si>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</si>
  <si>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</si>
  <si>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</si>
  <si>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</si>
  <si>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</si>
  <si>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</si>
  <si>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</si>
  <si>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</si>
  <si>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</si>
  <si>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</si>
  <si>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</si>
  <si>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</si>
  <si>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</si>
  <si>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</si>
  <si>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</si>
  <si>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</si>
  <si>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</si>
  <si>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</si>
  <si>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Plan 
po zmianie</t>
  </si>
  <si>
    <t>Różnica 
kol.4-kol.3</t>
  </si>
  <si>
    <t>Dynamika
kol.4/kol.3</t>
  </si>
  <si>
    <t>Plan na
2014 rok</t>
  </si>
  <si>
    <t>B2.19</t>
  </si>
  <si>
    <t>rezerwa na koszty świadczeń opieki zdrowotnej udzielone w ramach transgranicznej opieki zdrowotnej</t>
  </si>
  <si>
    <t>Koszty świadczeń opieki zdrowotnej  (B2.1+...+B2.19)</t>
  </si>
  <si>
    <t>refundacja, z tego:</t>
  </si>
  <si>
    <t>Koszty administracyjne ( D1+...+D8 )</t>
  </si>
  <si>
    <t>podatki i opłaty, z tego</t>
  </si>
  <si>
    <t>ubezpieczenie społeczne i inne świadczenia, z tego:</t>
  </si>
  <si>
    <t>Składka należna brutto w roku planowania równa przypisowi składki
(1.1 + 1.2)</t>
  </si>
  <si>
    <t>Planowany odpis aktualizujący składkę należną (2.1 + 2.2)</t>
  </si>
  <si>
    <t>Przychody ze składek z lat ubiegłych (3.1+3.2)</t>
  </si>
  <si>
    <t>Koszt poboru i ewidencjonowania składek (4.1 + 4.2)</t>
  </si>
  <si>
    <t>Odpis na taryfikację świdczeń, o którym mowa w art. 31t ust. 5-8 ustawy</t>
  </si>
  <si>
    <t>Przychody netto z działalności
(1-2+3-4-5) + A1 + A2 + A3 + A4</t>
  </si>
  <si>
    <t>dotacje z budżetu państwa na finansowanie zadań, o których mowa w art. 97 ust. 3 pkt 2a, 2b, 3 i 3b ustawy</t>
  </si>
  <si>
    <t>Koszty świadczeń opieki zdrowotnej  (B2.1 + … + B2.19)</t>
  </si>
  <si>
    <t>Koszty administracyjne (D1 + … + D8)</t>
  </si>
  <si>
    <t>podatki i opłaty, z tego:</t>
  </si>
  <si>
    <t>Pozostałe koszty (F1+ … +F4)</t>
  </si>
  <si>
    <t>Przychody finansowe (G1 + G2)</t>
  </si>
  <si>
    <t>ZMIANA PLANU NARODOWEGO FUNDUSZU ZDROWIA NA 2014 R. Z DNIA 30 GRUDNIA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</si>
</sst>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1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3" fontId="13" fillId="33" borderId="10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 horizontal="right" vertical="center"/>
    </xf>
    <xf numFmtId="0" fontId="5" fillId="33" borderId="10" xfId="68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3" borderId="10" xfId="68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1" fillId="0" borderId="10" xfId="68" applyFont="1" applyFill="1" applyBorder="1" applyAlignment="1" applyProtection="1">
      <alignment horizontal="center" vertical="center" wrapText="1"/>
      <protection/>
    </xf>
    <xf numFmtId="0" fontId="21" fillId="0" borderId="10" xfId="68" applyFont="1" applyFill="1" applyBorder="1" applyAlignment="1" applyProtection="1">
      <alignment horizontal="center" vertical="center" wrapText="1"/>
      <protection/>
    </xf>
    <xf numFmtId="0" fontId="2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3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1" fillId="0" borderId="10" xfId="68" applyFont="1" applyFill="1" applyBorder="1" applyAlignment="1" applyProtection="1">
      <alignment horizontal="left" vertical="center" wrapText="1" indent="2"/>
      <protection/>
    </xf>
    <xf numFmtId="0" fontId="21" fillId="0" borderId="10" xfId="66" applyFont="1" applyFill="1" applyBorder="1" applyAlignment="1" applyProtection="1">
      <alignment horizontal="left" vertical="center" wrapText="1" indent="2"/>
      <protection/>
    </xf>
    <xf numFmtId="0" fontId="2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3" borderId="10" xfId="68" applyFont="1" applyFill="1" applyBorder="1" applyAlignment="1" applyProtection="1">
      <alignment horizontal="left" vertical="center" wrapText="1" indent="1"/>
      <protection/>
    </xf>
    <xf numFmtId="0" fontId="22" fillId="0" borderId="10" xfId="68" applyFont="1" applyFill="1" applyBorder="1" applyAlignment="1" applyProtection="1">
      <alignment horizontal="left" vertical="center" wrapText="1" indent="2"/>
      <protection/>
    </xf>
    <xf numFmtId="0" fontId="22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3" borderId="10" xfId="68" applyFont="1" applyFill="1" applyBorder="1" applyAlignment="1" applyProtection="1">
      <alignment horizontal="left" vertical="center" wrapText="1" indent="1"/>
      <protection/>
    </xf>
    <xf numFmtId="0" fontId="12" fillId="33" borderId="10" xfId="68" applyFont="1" applyFill="1" applyBorder="1" applyAlignment="1" applyProtection="1">
      <alignment horizontal="left" vertical="center" wrapText="1" indent="1"/>
      <protection/>
    </xf>
    <xf numFmtId="49" fontId="9" fillId="33" borderId="10" xfId="6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3" borderId="10" xfId="0" applyNumberFormat="1" applyFont="1" applyFill="1" applyBorder="1" applyAlignment="1">
      <alignment horizontal="center" vertical="center"/>
    </xf>
    <xf numFmtId="0" fontId="20" fillId="33" borderId="10" xfId="68" applyFont="1" applyFill="1" applyBorder="1" applyAlignment="1" applyProtection="1">
      <alignment horizontal="center" vertical="center" wrapText="1"/>
      <protection/>
    </xf>
    <xf numFmtId="0" fontId="20" fillId="33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0" fillId="33" borderId="10" xfId="68" applyFont="1" applyFill="1" applyBorder="1" applyAlignment="1" applyProtection="1" quotePrefix="1">
      <alignment horizontal="center" vertical="center" wrapText="1"/>
      <protection/>
    </xf>
    <xf numFmtId="0" fontId="20" fillId="33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left" vertical="center" wrapText="1" indent="3"/>
      <protection/>
    </xf>
    <xf numFmtId="0" fontId="15" fillId="0" borderId="10" xfId="68" applyFont="1" applyFill="1" applyBorder="1" applyAlignment="1" applyProtection="1">
      <alignment horizontal="left" vertical="center" wrapText="1" indent="2"/>
      <protection/>
    </xf>
    <xf numFmtId="0" fontId="12" fillId="33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0" xfId="67" applyFont="1" applyFill="1" applyBorder="1" applyAlignment="1" applyProtection="1">
      <alignment horizontal="left" vertical="center" wrapText="1" indent="3"/>
      <protection/>
    </xf>
    <xf numFmtId="0" fontId="15" fillId="0" borderId="10" xfId="67" applyFont="1" applyFill="1" applyBorder="1" applyAlignment="1" applyProtection="1">
      <alignment horizontal="left" vertical="center" wrapText="1" indent="4"/>
      <protection/>
    </xf>
    <xf numFmtId="0" fontId="20" fillId="33" borderId="10" xfId="67" applyFont="1" applyFill="1" applyBorder="1" applyAlignment="1" applyProtection="1">
      <alignment horizontal="center" vertical="center" wrapText="1"/>
      <protection/>
    </xf>
    <xf numFmtId="0" fontId="20" fillId="33" borderId="10" xfId="67" applyFont="1" applyFill="1" applyBorder="1" applyAlignment="1" applyProtection="1">
      <alignment horizontal="left" vertical="center" wrapText="1" indent="1"/>
      <protection/>
    </xf>
    <xf numFmtId="0" fontId="20" fillId="33" borderId="11" xfId="67" applyFont="1" applyFill="1" applyBorder="1" applyAlignment="1" applyProtection="1">
      <alignment horizontal="left" vertical="center" wrapText="1" indent="1"/>
      <protection/>
    </xf>
    <xf numFmtId="0" fontId="20" fillId="33" borderId="11" xfId="68" applyFont="1" applyFill="1" applyBorder="1" applyAlignment="1" applyProtection="1">
      <alignment horizontal="left" vertical="center" wrapText="1" indent="1"/>
      <protection/>
    </xf>
    <xf numFmtId="3" fontId="14" fillId="33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68" applyFont="1" applyFill="1" applyBorder="1" applyAlignment="1" applyProtection="1">
      <alignment horizontal="left" vertical="center" wrapText="1" indent="2"/>
      <protection/>
    </xf>
    <xf numFmtId="3" fontId="11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3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19" fillId="35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168" fontId="63" fillId="35" borderId="0" xfId="70" applyNumberFormat="1" applyFont="1" applyFill="1" applyBorder="1" applyAlignment="1" applyProtection="1">
      <alignment vertical="center"/>
      <protection locked="0"/>
    </xf>
    <xf numFmtId="168" fontId="14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3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3" borderId="10" xfId="0" applyNumberFormat="1" applyFont="1" applyFill="1" applyBorder="1" applyAlignment="1" applyProtection="1">
      <alignment horizontal="right" vertical="center"/>
      <protection/>
    </xf>
    <xf numFmtId="10" fontId="13" fillId="33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3" fontId="13" fillId="33" borderId="10" xfId="0" applyNumberFormat="1" applyFont="1" applyFill="1" applyBorder="1" applyAlignment="1" applyProtection="1">
      <alignment horizontal="right" vertical="center"/>
      <protection locked="0"/>
    </xf>
    <xf numFmtId="10" fontId="13" fillId="33" borderId="10" xfId="0" applyNumberFormat="1" applyFont="1" applyFill="1" applyBorder="1" applyAlignment="1" applyProtection="1">
      <alignment vertical="center"/>
      <protection locked="0"/>
    </xf>
    <xf numFmtId="10" fontId="11" fillId="33" borderId="10" xfId="0" applyNumberFormat="1" applyFont="1" applyFill="1" applyBorder="1" applyAlignment="1">
      <alignment horizontal="right" vertical="center"/>
    </xf>
    <xf numFmtId="10" fontId="14" fillId="33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10" fontId="11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11" fillId="33" borderId="10" xfId="66" applyFont="1" applyFill="1" applyBorder="1" applyAlignment="1" applyProtection="1">
      <alignment horizontal="center" vertical="center" wrapText="1"/>
      <protection/>
    </xf>
    <xf numFmtId="3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3" fontId="2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— akcent 1" xfId="23"/>
    <cellStyle name="20% — akcent 2" xfId="24"/>
    <cellStyle name="20% — akcent 3" xfId="25"/>
    <cellStyle name="20% — akcent 4" xfId="26"/>
    <cellStyle name="20% — akcent 5" xfId="27"/>
    <cellStyle name="20% — akcent 6" xfId="28"/>
    <cellStyle name="40% — akcent 1" xfId="29"/>
    <cellStyle name="40% — akcent 2" xfId="30"/>
    <cellStyle name="40% — akcent 3" xfId="31"/>
    <cellStyle name="40% — akcent 4" xfId="32"/>
    <cellStyle name="40% — akcent 5" xfId="33"/>
    <cellStyle name="40% — akcent 6" xfId="34"/>
    <cellStyle name="60% — akcent 1" xfId="35"/>
    <cellStyle name="60% — akcent 2" xfId="36"/>
    <cellStyle name="60% — akcent 3" xfId="37"/>
    <cellStyle name="60% — akcent 4" xfId="38"/>
    <cellStyle name="60% — akcent 5" xfId="39"/>
    <cellStyle name="60% —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y" xfId="53"/>
    <cellStyle name="Comma" xfId="54"/>
    <cellStyle name="Comma [0]" xfId="55"/>
    <cellStyle name="Dziesiętny 2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_laroux" xfId="64"/>
    <cellStyle name="normální_laroux" xfId="65"/>
    <cellStyle name="Normalny_03PlFin_0403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dyta\2014\Przesuni&#281;cia\2014\Pa&#378;dziernik\10.10.2014%20&#347;w\&#347;w%2010.10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Łącznie"/>
      <sheetName val="Plan po zm. łącznie  NFZ"/>
    </sheetNames>
    <sheetDataSet>
      <sheetData sheetId="0">
        <row r="11">
          <cell r="D11">
            <v>0</v>
          </cell>
        </row>
        <row r="12">
          <cell r="D12">
            <v>0</v>
          </cell>
        </row>
        <row r="14">
          <cell r="D14">
            <v>100000</v>
          </cell>
        </row>
        <row r="15">
          <cell r="D15">
            <v>0</v>
          </cell>
        </row>
        <row r="20">
          <cell r="D20">
            <v>131309</v>
          </cell>
        </row>
        <row r="21">
          <cell r="D21">
            <v>0</v>
          </cell>
        </row>
        <row r="22">
          <cell r="D22">
            <v>183204</v>
          </cell>
        </row>
        <row r="23">
          <cell r="D23">
            <v>1839959</v>
          </cell>
        </row>
        <row r="25">
          <cell r="D25">
            <v>634793</v>
          </cell>
        </row>
        <row r="90">
          <cell r="D90">
            <v>0</v>
          </cell>
        </row>
        <row r="91">
          <cell r="D91">
            <v>0</v>
          </cell>
        </row>
        <row r="93">
          <cell r="D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showGridLines="0" tabSelected="1" view="pageBreakPreview" zoomScale="55" zoomScaleNormal="55" zoomScaleSheetLayoutView="55" zoomScalePageLayoutView="0" workbookViewId="0" topLeftCell="A1">
      <pane xSplit="2" ySplit="6" topLeftCell="C2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P8" sqref="P8"/>
    </sheetView>
  </sheetViews>
  <sheetFormatPr defaultColWidth="9.00390625" defaultRowHeight="12.75"/>
  <cols>
    <col min="1" max="1" width="10.375" style="20" customWidth="1"/>
    <col min="2" max="2" width="125.875" style="20" customWidth="1"/>
    <col min="3" max="3" width="26.75390625" style="6" customWidth="1"/>
    <col min="4" max="4" width="26.875" style="6" customWidth="1"/>
    <col min="5" max="5" width="23.625" style="6" customWidth="1"/>
    <col min="6" max="6" width="20.75390625" style="6" customWidth="1"/>
    <col min="7" max="16384" width="9.125" style="6" customWidth="1"/>
  </cols>
  <sheetData>
    <row r="1" spans="1:6" s="74" customFormat="1" ht="38.25" customHeight="1">
      <c r="A1" s="111" t="s">
        <v>211</v>
      </c>
      <c r="B1" s="111"/>
      <c r="C1" s="111"/>
      <c r="D1" s="111"/>
      <c r="E1" s="111"/>
      <c r="F1" s="111"/>
    </row>
    <row r="2" spans="1:3" s="48" customFormat="1" ht="35.25" customHeight="1">
      <c r="A2" s="107" t="s">
        <v>185</v>
      </c>
      <c r="B2" s="107"/>
      <c r="C2" s="87"/>
    </row>
    <row r="3" spans="1:5" s="9" customFormat="1" ht="36" customHeight="1">
      <c r="A3" s="7"/>
      <c r="B3" s="8"/>
      <c r="C3" s="84"/>
      <c r="D3" s="84"/>
      <c r="E3" s="84" t="s">
        <v>158</v>
      </c>
    </row>
    <row r="4" spans="1:6" s="10" customFormat="1" ht="38.2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10" customFormat="1" ht="49.5" customHeight="1">
      <c r="A5" s="108"/>
      <c r="B5" s="108"/>
      <c r="C5" s="110"/>
      <c r="D5" s="110"/>
      <c r="E5" s="112"/>
      <c r="F5" s="112"/>
    </row>
    <row r="6" spans="1:6" s="11" customFormat="1" ht="19.5" customHeight="1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13" customFormat="1" ht="63.75" customHeight="1">
      <c r="A7" s="52">
        <v>1</v>
      </c>
      <c r="B7" s="53" t="s">
        <v>199</v>
      </c>
      <c r="C7" s="12">
        <f>C8+C9</f>
        <v>64302927</v>
      </c>
      <c r="D7" s="12">
        <f>D8+D9</f>
        <v>64302927</v>
      </c>
      <c r="E7" s="12" t="str">
        <f>IF(C7=D7,"-",D7-C7)</f>
        <v>-</v>
      </c>
      <c r="F7" s="98">
        <f>IF(C7=0,"-",D7/C7)</f>
        <v>1</v>
      </c>
    </row>
    <row r="8" spans="1:6" ht="30" customHeight="1">
      <c r="A8" s="54" t="s">
        <v>77</v>
      </c>
      <c r="B8" s="55" t="s">
        <v>78</v>
      </c>
      <c r="C8" s="14">
        <v>61054203</v>
      </c>
      <c r="D8" s="14">
        <f>C8</f>
        <v>61054203</v>
      </c>
      <c r="E8" s="14" t="str">
        <f aca="true" t="shared" si="0" ref="E8:E80">IF(C8=D8,"-",D8-C8)</f>
        <v>-</v>
      </c>
      <c r="F8" s="99">
        <f aca="true" t="shared" si="1" ref="F8:F80">IF(C8=0,"-",D8/C8)</f>
        <v>1</v>
      </c>
    </row>
    <row r="9" spans="1:6" ht="30" customHeight="1">
      <c r="A9" s="54" t="s">
        <v>79</v>
      </c>
      <c r="B9" s="55" t="s">
        <v>80</v>
      </c>
      <c r="C9" s="14">
        <v>3248724</v>
      </c>
      <c r="D9" s="14">
        <f>C9</f>
        <v>3248724</v>
      </c>
      <c r="E9" s="14" t="str">
        <f t="shared" si="0"/>
        <v>-</v>
      </c>
      <c r="F9" s="99">
        <f t="shared" si="1"/>
        <v>1</v>
      </c>
    </row>
    <row r="10" spans="1:6" s="13" customFormat="1" ht="39" customHeight="1">
      <c r="A10" s="52">
        <v>2</v>
      </c>
      <c r="B10" s="53" t="s">
        <v>200</v>
      </c>
      <c r="C10" s="12">
        <v>0</v>
      </c>
      <c r="D10" s="12">
        <f>D11+D12</f>
        <v>0</v>
      </c>
      <c r="E10" s="12" t="str">
        <f t="shared" si="0"/>
        <v>-</v>
      </c>
      <c r="F10" s="98" t="str">
        <f t="shared" si="1"/>
        <v>-</v>
      </c>
    </row>
    <row r="11" spans="1:6" ht="30" customHeight="1">
      <c r="A11" s="54" t="s">
        <v>81</v>
      </c>
      <c r="B11" s="55" t="s">
        <v>82</v>
      </c>
      <c r="C11" s="14">
        <f>'[4]NFZ'!$D11</f>
        <v>0</v>
      </c>
      <c r="D11" s="14">
        <f>C11</f>
        <v>0</v>
      </c>
      <c r="E11" s="14" t="str">
        <f t="shared" si="0"/>
        <v>-</v>
      </c>
      <c r="F11" s="99" t="str">
        <f t="shared" si="1"/>
        <v>-</v>
      </c>
    </row>
    <row r="12" spans="1:6" ht="30" customHeight="1">
      <c r="A12" s="54" t="s">
        <v>83</v>
      </c>
      <c r="B12" s="55" t="s">
        <v>84</v>
      </c>
      <c r="C12" s="14">
        <f>'[4]NFZ'!$D12</f>
        <v>0</v>
      </c>
      <c r="D12" s="14">
        <f>C12</f>
        <v>0</v>
      </c>
      <c r="E12" s="14" t="str">
        <f t="shared" si="0"/>
        <v>-</v>
      </c>
      <c r="F12" s="99" t="str">
        <f t="shared" si="1"/>
        <v>-</v>
      </c>
    </row>
    <row r="13" spans="1:6" s="13" customFormat="1" ht="39.75" customHeight="1">
      <c r="A13" s="52">
        <v>3</v>
      </c>
      <c r="B13" s="53" t="s">
        <v>201</v>
      </c>
      <c r="C13" s="12">
        <f>C14+C15</f>
        <v>100000</v>
      </c>
      <c r="D13" s="12">
        <f>D14+D15</f>
        <v>100000</v>
      </c>
      <c r="E13" s="12" t="str">
        <f t="shared" si="0"/>
        <v>-</v>
      </c>
      <c r="F13" s="98">
        <f t="shared" si="1"/>
        <v>1</v>
      </c>
    </row>
    <row r="14" spans="1:6" ht="30" customHeight="1">
      <c r="A14" s="54" t="s">
        <v>85</v>
      </c>
      <c r="B14" s="55" t="s">
        <v>78</v>
      </c>
      <c r="C14" s="14">
        <f>'[4]NFZ'!$D14</f>
        <v>100000</v>
      </c>
      <c r="D14" s="14">
        <f>C14</f>
        <v>100000</v>
      </c>
      <c r="E14" s="14" t="str">
        <f t="shared" si="0"/>
        <v>-</v>
      </c>
      <c r="F14" s="99">
        <f t="shared" si="1"/>
        <v>1</v>
      </c>
    </row>
    <row r="15" spans="1:6" ht="30" customHeight="1">
      <c r="A15" s="54" t="s">
        <v>86</v>
      </c>
      <c r="B15" s="55" t="s">
        <v>80</v>
      </c>
      <c r="C15" s="14">
        <f>'[4]NFZ'!$D15</f>
        <v>0</v>
      </c>
      <c r="D15" s="14">
        <f>C15</f>
        <v>0</v>
      </c>
      <c r="E15" s="14" t="str">
        <f t="shared" si="0"/>
        <v>-</v>
      </c>
      <c r="F15" s="99" t="str">
        <f t="shared" si="1"/>
        <v>-</v>
      </c>
    </row>
    <row r="16" spans="1:6" s="13" customFormat="1" ht="39" customHeight="1">
      <c r="A16" s="52">
        <v>4</v>
      </c>
      <c r="B16" s="53" t="s">
        <v>202</v>
      </c>
      <c r="C16" s="12">
        <f>C17+C18</f>
        <v>123660</v>
      </c>
      <c r="D16" s="12">
        <f>D17+D18</f>
        <v>123660</v>
      </c>
      <c r="E16" s="12" t="str">
        <f t="shared" si="0"/>
        <v>-</v>
      </c>
      <c r="F16" s="98">
        <f t="shared" si="1"/>
        <v>1</v>
      </c>
    </row>
    <row r="17" spans="1:6" ht="30" customHeight="1">
      <c r="A17" s="56" t="s">
        <v>87</v>
      </c>
      <c r="B17" s="55" t="s">
        <v>88</v>
      </c>
      <c r="C17" s="14">
        <v>120887</v>
      </c>
      <c r="D17" s="14">
        <f>ROUND((D8-D11)*0.99*0.002,0)</f>
        <v>120887</v>
      </c>
      <c r="E17" s="14" t="str">
        <f t="shared" si="0"/>
        <v>-</v>
      </c>
      <c r="F17" s="99">
        <f t="shared" si="1"/>
        <v>1</v>
      </c>
    </row>
    <row r="18" spans="1:6" ht="30" customHeight="1">
      <c r="A18" s="56" t="s">
        <v>89</v>
      </c>
      <c r="B18" s="55" t="s">
        <v>90</v>
      </c>
      <c r="C18" s="14">
        <v>2773</v>
      </c>
      <c r="D18" s="14">
        <f>C18</f>
        <v>2773</v>
      </c>
      <c r="E18" s="77" t="str">
        <f t="shared" si="0"/>
        <v>-</v>
      </c>
      <c r="F18" s="99">
        <f t="shared" si="1"/>
        <v>1</v>
      </c>
    </row>
    <row r="19" spans="1:6" ht="30" customHeight="1">
      <c r="A19" s="52">
        <v>5</v>
      </c>
      <c r="B19" s="52" t="s">
        <v>203</v>
      </c>
      <c r="C19" s="12">
        <v>0</v>
      </c>
      <c r="D19" s="12">
        <f>C19</f>
        <v>0</v>
      </c>
      <c r="E19" s="12" t="str">
        <f>IF(C19=D19,"-",D19-C19)</f>
        <v>-</v>
      </c>
      <c r="F19" s="98" t="str">
        <f>IF(C19=0,"-",D19/C19)</f>
        <v>-</v>
      </c>
    </row>
    <row r="20" spans="1:6" s="13" customFormat="1" ht="63.75" customHeight="1">
      <c r="A20" s="57" t="s">
        <v>143</v>
      </c>
      <c r="B20" s="58" t="s">
        <v>204</v>
      </c>
      <c r="C20" s="12">
        <f>(C7-C10+C13-C16-C19)+C21+C22+C23+C24</f>
        <v>66433739</v>
      </c>
      <c r="D20" s="12">
        <f>(D7-D10+D13-D16-D19)+D21+D22+D23+D24</f>
        <v>66433739</v>
      </c>
      <c r="E20" s="12" t="str">
        <f t="shared" si="0"/>
        <v>-</v>
      </c>
      <c r="F20" s="98">
        <f t="shared" si="1"/>
        <v>1</v>
      </c>
    </row>
    <row r="21" spans="1:6" ht="31.5" customHeight="1">
      <c r="A21" s="54" t="s">
        <v>91</v>
      </c>
      <c r="B21" s="59" t="s">
        <v>92</v>
      </c>
      <c r="C21" s="14">
        <f>'[4]NFZ'!$D20</f>
        <v>131309</v>
      </c>
      <c r="D21" s="14">
        <f>C21</f>
        <v>131309</v>
      </c>
      <c r="E21" s="14" t="str">
        <f t="shared" si="0"/>
        <v>-</v>
      </c>
      <c r="F21" s="99">
        <f t="shared" si="1"/>
        <v>1</v>
      </c>
    </row>
    <row r="22" spans="1:6" ht="31.5" customHeight="1">
      <c r="A22" s="54" t="s">
        <v>93</v>
      </c>
      <c r="B22" s="59" t="s">
        <v>94</v>
      </c>
      <c r="C22" s="14">
        <f>'[4]NFZ'!$D21</f>
        <v>0</v>
      </c>
      <c r="D22" s="14">
        <f>C22</f>
        <v>0</v>
      </c>
      <c r="E22" s="14" t="str">
        <f t="shared" si="0"/>
        <v>-</v>
      </c>
      <c r="F22" s="99" t="str">
        <f t="shared" si="1"/>
        <v>-</v>
      </c>
    </row>
    <row r="23" spans="1:6" ht="50.25" customHeight="1">
      <c r="A23" s="54" t="s">
        <v>95</v>
      </c>
      <c r="B23" s="59" t="s">
        <v>205</v>
      </c>
      <c r="C23" s="14">
        <f>'[4]NFZ'!$D22</f>
        <v>183204</v>
      </c>
      <c r="D23" s="14">
        <f>C23</f>
        <v>183204</v>
      </c>
      <c r="E23" s="14" t="str">
        <f t="shared" si="0"/>
        <v>-</v>
      </c>
      <c r="F23" s="99">
        <f t="shared" si="1"/>
        <v>1</v>
      </c>
    </row>
    <row r="24" spans="1:6" ht="31.5" customHeight="1">
      <c r="A24" s="54" t="s">
        <v>96</v>
      </c>
      <c r="B24" s="60" t="s">
        <v>97</v>
      </c>
      <c r="C24" s="14">
        <f>'[4]NFZ'!$D23</f>
        <v>1839959</v>
      </c>
      <c r="D24" s="14">
        <f>C24</f>
        <v>1839959</v>
      </c>
      <c r="E24" s="14" t="str">
        <f t="shared" si="0"/>
        <v>-</v>
      </c>
      <c r="F24" s="99">
        <f t="shared" si="1"/>
        <v>1</v>
      </c>
    </row>
    <row r="25" spans="1:6" s="13" customFormat="1" ht="36" customHeight="1">
      <c r="A25" s="57" t="s">
        <v>144</v>
      </c>
      <c r="B25" s="58" t="s">
        <v>127</v>
      </c>
      <c r="C25" s="12">
        <f>C26+C27+C55+C56</f>
        <v>66925483</v>
      </c>
      <c r="D25" s="12">
        <f>D26+D27+D55+D56</f>
        <v>66991947</v>
      </c>
      <c r="E25" s="12">
        <f t="shared" si="0"/>
        <v>66464</v>
      </c>
      <c r="F25" s="98">
        <f t="shared" si="1"/>
        <v>1.001</v>
      </c>
    </row>
    <row r="26" spans="1:6" s="13" customFormat="1" ht="36" customHeight="1">
      <c r="A26" s="57" t="s">
        <v>98</v>
      </c>
      <c r="B26" s="58" t="s">
        <v>99</v>
      </c>
      <c r="C26" s="12">
        <f>'[4]NFZ'!$D25</f>
        <v>634793</v>
      </c>
      <c r="D26" s="12">
        <f>C26</f>
        <v>634793</v>
      </c>
      <c r="E26" s="12" t="str">
        <f t="shared" si="0"/>
        <v>-</v>
      </c>
      <c r="F26" s="98">
        <f t="shared" si="1"/>
        <v>1</v>
      </c>
    </row>
    <row r="27" spans="1:6" s="13" customFormat="1" ht="36" customHeight="1">
      <c r="A27" s="57" t="s">
        <v>0</v>
      </c>
      <c r="B27" s="58" t="s">
        <v>206</v>
      </c>
      <c r="C27" s="23">
        <f>C28+C29+C30+C35+C36+C37+C38+C39+C40+C41+C42+C43+C44+C45+C49+C50+C52+C53+C54</f>
        <v>64450731</v>
      </c>
      <c r="D27" s="23">
        <f>D28+D29+D30+D35+D36+D37+D38+D39+D40+D41+D42+D43+D44+D45+D49+D50+D52+D53+D54</f>
        <v>64517195</v>
      </c>
      <c r="E27" s="100">
        <f>IF(C27=D27,"-",D27-C27)</f>
        <v>66464</v>
      </c>
      <c r="F27" s="101">
        <f t="shared" si="1"/>
        <v>1.001</v>
      </c>
    </row>
    <row r="28" spans="1:6" ht="30" customHeight="1">
      <c r="A28" s="61" t="s">
        <v>1</v>
      </c>
      <c r="B28" s="63" t="s">
        <v>132</v>
      </c>
      <c r="C28" s="14">
        <f>CENTRALA!C8+'Razem OW'!C8</f>
        <v>7725799</v>
      </c>
      <c r="D28" s="14">
        <f>CENTRALA!D8+'Razem OW'!D8</f>
        <v>7727318</v>
      </c>
      <c r="E28" s="77">
        <f t="shared" si="0"/>
        <v>1519</v>
      </c>
      <c r="F28" s="106">
        <f t="shared" si="1"/>
        <v>1.0002</v>
      </c>
    </row>
    <row r="29" spans="1:6" ht="30" customHeight="1">
      <c r="A29" s="61" t="s">
        <v>2</v>
      </c>
      <c r="B29" s="63" t="s">
        <v>133</v>
      </c>
      <c r="C29" s="14">
        <f>CENTRALA!C9+'Razem OW'!C9</f>
        <v>5540596</v>
      </c>
      <c r="D29" s="14">
        <f>CENTRALA!D9+'Razem OW'!D9</f>
        <v>5540596</v>
      </c>
      <c r="E29" s="77" t="str">
        <f>IF(C29=D29,"-",D29-C29)</f>
        <v>-</v>
      </c>
      <c r="F29" s="106">
        <f t="shared" si="1"/>
        <v>1</v>
      </c>
    </row>
    <row r="30" spans="1:6" ht="30" customHeight="1">
      <c r="A30" s="61" t="s">
        <v>3</v>
      </c>
      <c r="B30" s="63" t="s">
        <v>130</v>
      </c>
      <c r="C30" s="14">
        <f>CENTRALA!C10+'Razem OW'!C10</f>
        <v>31049560</v>
      </c>
      <c r="D30" s="77">
        <f>CENTRALA!D10+'Razem OW'!D10</f>
        <v>31101102</v>
      </c>
      <c r="E30" s="77">
        <f t="shared" si="0"/>
        <v>51542</v>
      </c>
      <c r="F30" s="106">
        <f t="shared" si="1"/>
        <v>1.0017</v>
      </c>
    </row>
    <row r="31" spans="1:6" ht="30" customHeight="1">
      <c r="A31" s="61" t="s">
        <v>56</v>
      </c>
      <c r="B31" s="62" t="s">
        <v>159</v>
      </c>
      <c r="C31" s="14">
        <f>CENTRALA!C11+'Razem OW'!C11</f>
        <v>2641319</v>
      </c>
      <c r="D31" s="14">
        <f>CENTRALA!D11+'Razem OW'!D11</f>
        <v>2641319</v>
      </c>
      <c r="E31" s="77" t="str">
        <f t="shared" si="0"/>
        <v>-</v>
      </c>
      <c r="F31" s="106">
        <f t="shared" si="1"/>
        <v>1</v>
      </c>
    </row>
    <row r="32" spans="1:6" ht="30" customHeight="1">
      <c r="A32" s="61" t="s">
        <v>160</v>
      </c>
      <c r="B32" s="62" t="s">
        <v>163</v>
      </c>
      <c r="C32" s="14">
        <f>CENTRALA!C12+'Razem OW'!C12</f>
        <v>2417446</v>
      </c>
      <c r="D32" s="14">
        <f>CENTRALA!D12+'Razem OW'!D12</f>
        <v>2417446</v>
      </c>
      <c r="E32" s="77" t="str">
        <f t="shared" si="0"/>
        <v>-</v>
      </c>
      <c r="F32" s="106">
        <f t="shared" si="1"/>
        <v>1</v>
      </c>
    </row>
    <row r="33" spans="1:6" ht="30" customHeight="1">
      <c r="A33" s="61" t="s">
        <v>161</v>
      </c>
      <c r="B33" s="62" t="s">
        <v>164</v>
      </c>
      <c r="C33" s="14">
        <f>CENTRALA!C13+'Razem OW'!C13</f>
        <v>1349137</v>
      </c>
      <c r="D33" s="14">
        <f>CENTRALA!D13+'Razem OW'!D13</f>
        <v>1349137</v>
      </c>
      <c r="E33" s="77" t="str">
        <f t="shared" si="0"/>
        <v>-</v>
      </c>
      <c r="F33" s="106">
        <f t="shared" si="1"/>
        <v>1</v>
      </c>
    </row>
    <row r="34" spans="1:6" ht="30" customHeight="1">
      <c r="A34" s="61" t="s">
        <v>162</v>
      </c>
      <c r="B34" s="62" t="s">
        <v>165</v>
      </c>
      <c r="C34" s="14">
        <f>CENTRALA!C14+'Razem OW'!C14</f>
        <v>544741</v>
      </c>
      <c r="D34" s="14">
        <f>CENTRALA!D14+'Razem OW'!D14</f>
        <v>544741</v>
      </c>
      <c r="E34" s="77" t="str">
        <f t="shared" si="0"/>
        <v>-</v>
      </c>
      <c r="F34" s="106">
        <f t="shared" si="1"/>
        <v>1</v>
      </c>
    </row>
    <row r="35" spans="1:6" ht="30" customHeight="1">
      <c r="A35" s="61" t="s">
        <v>4</v>
      </c>
      <c r="B35" s="63" t="s">
        <v>138</v>
      </c>
      <c r="C35" s="14">
        <f>CENTRALA!C15+'Razem OW'!C15</f>
        <v>2331169</v>
      </c>
      <c r="D35" s="14">
        <f>CENTRALA!D15+'Razem OW'!D15</f>
        <v>2332816</v>
      </c>
      <c r="E35" s="77">
        <f t="shared" si="0"/>
        <v>1647</v>
      </c>
      <c r="F35" s="106">
        <f t="shared" si="1"/>
        <v>1.0007</v>
      </c>
    </row>
    <row r="36" spans="1:6" ht="30" customHeight="1">
      <c r="A36" s="61" t="s">
        <v>5</v>
      </c>
      <c r="B36" s="63" t="s">
        <v>134</v>
      </c>
      <c r="C36" s="14">
        <f>CENTRALA!C16+'Razem OW'!C16</f>
        <v>2096300</v>
      </c>
      <c r="D36" s="14">
        <f>CENTRALA!D16+'Razem OW'!D16</f>
        <v>2096300</v>
      </c>
      <c r="E36" s="77" t="str">
        <f t="shared" si="0"/>
        <v>-</v>
      </c>
      <c r="F36" s="106">
        <f t="shared" si="1"/>
        <v>1</v>
      </c>
    </row>
    <row r="37" spans="1:6" ht="30" customHeight="1">
      <c r="A37" s="61" t="s">
        <v>6</v>
      </c>
      <c r="B37" s="63" t="s">
        <v>140</v>
      </c>
      <c r="C37" s="14">
        <f>CENTRALA!C17+'Razem OW'!C17</f>
        <v>1107536</v>
      </c>
      <c r="D37" s="14">
        <f>CENTRALA!D17+'Razem OW'!D17</f>
        <v>1109343</v>
      </c>
      <c r="E37" s="77">
        <f t="shared" si="0"/>
        <v>1807</v>
      </c>
      <c r="F37" s="106">
        <f t="shared" si="1"/>
        <v>1.0016</v>
      </c>
    </row>
    <row r="38" spans="1:6" ht="30" customHeight="1">
      <c r="A38" s="61" t="s">
        <v>7</v>
      </c>
      <c r="B38" s="63" t="s">
        <v>139</v>
      </c>
      <c r="C38" s="14">
        <f>CENTRALA!C18+'Razem OW'!C18</f>
        <v>375271</v>
      </c>
      <c r="D38" s="14">
        <f>CENTRALA!D18+'Razem OW'!D18</f>
        <v>382703</v>
      </c>
      <c r="E38" s="77">
        <f>IF(C38=D38,"-",D38-C38)</f>
        <v>7432</v>
      </c>
      <c r="F38" s="106">
        <f>IF(C38=0,"-",D38/C38)</f>
        <v>1.0198</v>
      </c>
    </row>
    <row r="39" spans="1:6" ht="30" customHeight="1">
      <c r="A39" s="61" t="s">
        <v>8</v>
      </c>
      <c r="B39" s="63" t="s">
        <v>135</v>
      </c>
      <c r="C39" s="14">
        <f>CENTRALA!C19+'Razem OW'!C19</f>
        <v>1773179</v>
      </c>
      <c r="D39" s="14">
        <f>CENTRALA!D19+'Razem OW'!D19</f>
        <v>1773179</v>
      </c>
      <c r="E39" s="77" t="str">
        <f t="shared" si="0"/>
        <v>-</v>
      </c>
      <c r="F39" s="106">
        <f t="shared" si="1"/>
        <v>1</v>
      </c>
    </row>
    <row r="40" spans="1:6" ht="30" customHeight="1">
      <c r="A40" s="61" t="s">
        <v>9</v>
      </c>
      <c r="B40" s="63" t="s">
        <v>136</v>
      </c>
      <c r="C40" s="14">
        <f>CENTRALA!C20+'Razem OW'!C20</f>
        <v>618616</v>
      </c>
      <c r="D40" s="14">
        <f>CENTRALA!D20+'Razem OW'!D20</f>
        <v>618616</v>
      </c>
      <c r="E40" s="77" t="str">
        <f t="shared" si="0"/>
        <v>-</v>
      </c>
      <c r="F40" s="106">
        <f t="shared" si="1"/>
        <v>1</v>
      </c>
    </row>
    <row r="41" spans="1:6" ht="30" customHeight="1">
      <c r="A41" s="61" t="s">
        <v>10</v>
      </c>
      <c r="B41" s="63" t="s">
        <v>141</v>
      </c>
      <c r="C41" s="14">
        <f>CENTRALA!C21+'Razem OW'!C21</f>
        <v>46036</v>
      </c>
      <c r="D41" s="14">
        <f>CENTRALA!D21+'Razem OW'!D21</f>
        <v>46036</v>
      </c>
      <c r="E41" s="77" t="str">
        <f t="shared" si="0"/>
        <v>-</v>
      </c>
      <c r="F41" s="106">
        <f t="shared" si="1"/>
        <v>1</v>
      </c>
    </row>
    <row r="42" spans="1:6" ht="30" customHeight="1">
      <c r="A42" s="61" t="s">
        <v>11</v>
      </c>
      <c r="B42" s="63" t="s">
        <v>137</v>
      </c>
      <c r="C42" s="14">
        <f>CENTRALA!C22+'Razem OW'!C22</f>
        <v>177023</v>
      </c>
      <c r="D42" s="14">
        <f>CENTRALA!D22+'Razem OW'!D22</f>
        <v>177023</v>
      </c>
      <c r="E42" s="77" t="str">
        <f t="shared" si="0"/>
        <v>-</v>
      </c>
      <c r="F42" s="106">
        <f t="shared" si="1"/>
        <v>1</v>
      </c>
    </row>
    <row r="43" spans="1:6" ht="30" customHeight="1">
      <c r="A43" s="61" t="s">
        <v>12</v>
      </c>
      <c r="B43" s="63" t="s">
        <v>182</v>
      </c>
      <c r="C43" s="14">
        <f>CENTRALA!C23+'Razem OW'!C23</f>
        <v>1743960</v>
      </c>
      <c r="D43" s="14">
        <f>CENTRALA!D23+'Razem OW'!D23</f>
        <v>1746477</v>
      </c>
      <c r="E43" s="77">
        <f t="shared" si="0"/>
        <v>2517</v>
      </c>
      <c r="F43" s="106">
        <f t="shared" si="1"/>
        <v>1.0014</v>
      </c>
    </row>
    <row r="44" spans="1:6" ht="30" customHeight="1">
      <c r="A44" s="61" t="s">
        <v>13</v>
      </c>
      <c r="B44" s="63" t="s">
        <v>166</v>
      </c>
      <c r="C44" s="14">
        <f>CENTRALA!C24+'Razem OW'!C24</f>
        <v>840982</v>
      </c>
      <c r="D44" s="14">
        <f>CENTRALA!D24+'Razem OW'!D24</f>
        <v>840982</v>
      </c>
      <c r="E44" s="77" t="str">
        <f t="shared" si="0"/>
        <v>-</v>
      </c>
      <c r="F44" s="106">
        <f t="shared" si="1"/>
        <v>1</v>
      </c>
    </row>
    <row r="45" spans="1:6" ht="30" customHeight="1">
      <c r="A45" s="61" t="s">
        <v>14</v>
      </c>
      <c r="B45" s="63" t="s">
        <v>195</v>
      </c>
      <c r="C45" s="14">
        <f>CENTRALA!C25+'Razem OW'!C25</f>
        <v>7938896</v>
      </c>
      <c r="D45" s="14">
        <f>CENTRALA!D25+'Razem OW'!D25</f>
        <v>7938896</v>
      </c>
      <c r="E45" s="77" t="str">
        <f t="shared" si="0"/>
        <v>-</v>
      </c>
      <c r="F45" s="106">
        <f t="shared" si="1"/>
        <v>1</v>
      </c>
    </row>
    <row r="46" spans="1:6" ht="41.25" customHeight="1">
      <c r="A46" s="61" t="s">
        <v>142</v>
      </c>
      <c r="B46" s="62" t="s">
        <v>168</v>
      </c>
      <c r="C46" s="14">
        <f>CENTRALA!C26+'Razem OW'!C26</f>
        <v>7896346</v>
      </c>
      <c r="D46" s="14">
        <f>CENTRALA!D26+'Razem OW'!D26</f>
        <v>7896346</v>
      </c>
      <c r="E46" s="77" t="str">
        <f t="shared" si="0"/>
        <v>-</v>
      </c>
      <c r="F46" s="106">
        <f t="shared" si="1"/>
        <v>1</v>
      </c>
    </row>
    <row r="47" spans="1:6" ht="30" customHeight="1">
      <c r="A47" s="61" t="s">
        <v>167</v>
      </c>
      <c r="B47" s="62" t="s">
        <v>170</v>
      </c>
      <c r="C47" s="14">
        <f>CENTRALA!C27+'Razem OW'!C27</f>
        <v>33144</v>
      </c>
      <c r="D47" s="14">
        <f>CENTRALA!D27+'Razem OW'!D27</f>
        <v>33144</v>
      </c>
      <c r="E47" s="77" t="str">
        <f t="shared" si="0"/>
        <v>-</v>
      </c>
      <c r="F47" s="106">
        <f t="shared" si="1"/>
        <v>1</v>
      </c>
    </row>
    <row r="48" spans="1:6" ht="41.25" customHeight="1">
      <c r="A48" s="61" t="s">
        <v>171</v>
      </c>
      <c r="B48" s="62" t="s">
        <v>169</v>
      </c>
      <c r="C48" s="14">
        <f>CENTRALA!C28+'Razem OW'!C28</f>
        <v>9406</v>
      </c>
      <c r="D48" s="14">
        <f>CENTRALA!D28+'Razem OW'!D28</f>
        <v>9406</v>
      </c>
      <c r="E48" s="77" t="str">
        <f t="shared" si="0"/>
        <v>-</v>
      </c>
      <c r="F48" s="106">
        <f t="shared" si="1"/>
        <v>1</v>
      </c>
    </row>
    <row r="49" spans="1:6" ht="36" customHeight="1">
      <c r="A49" s="61" t="s">
        <v>15</v>
      </c>
      <c r="B49" s="63" t="s">
        <v>121</v>
      </c>
      <c r="C49" s="14">
        <f>CENTRALA!C29+'Razem OW'!C29</f>
        <v>399133</v>
      </c>
      <c r="D49" s="14">
        <f>CENTRALA!D29+'Razem OW'!D29</f>
        <v>399133</v>
      </c>
      <c r="E49" s="77" t="str">
        <f t="shared" si="0"/>
        <v>-</v>
      </c>
      <c r="F49" s="106">
        <f t="shared" si="1"/>
        <v>1</v>
      </c>
    </row>
    <row r="50" spans="1:6" ht="30" customHeight="1">
      <c r="A50" s="61" t="s">
        <v>118</v>
      </c>
      <c r="B50" s="63" t="s">
        <v>172</v>
      </c>
      <c r="C50" s="14">
        <f>CENTRALA!C30+'Razem OW'!C30</f>
        <v>19196</v>
      </c>
      <c r="D50" s="14">
        <f>CENTRALA!D30+'Razem OW'!D30</f>
        <v>19196</v>
      </c>
      <c r="E50" s="77" t="str">
        <f t="shared" si="0"/>
        <v>-</v>
      </c>
      <c r="F50" s="106">
        <f t="shared" si="1"/>
        <v>1</v>
      </c>
    </row>
    <row r="51" spans="1:6" ht="30" customHeight="1">
      <c r="A51" s="61" t="s">
        <v>173</v>
      </c>
      <c r="B51" s="63" t="s">
        <v>184</v>
      </c>
      <c r="C51" s="14">
        <f>CENTRALA!C31+'Razem OW'!C31</f>
        <v>0</v>
      </c>
      <c r="D51" s="14">
        <f>CENTRALA!D31+'Razem OW'!D31</f>
        <v>0</v>
      </c>
      <c r="E51" s="77" t="str">
        <f t="shared" si="0"/>
        <v>-</v>
      </c>
      <c r="F51" s="106" t="str">
        <f t="shared" si="1"/>
        <v>-</v>
      </c>
    </row>
    <row r="52" spans="1:6" ht="30" customHeight="1">
      <c r="A52" s="61" t="s">
        <v>119</v>
      </c>
      <c r="B52" s="63" t="s">
        <v>122</v>
      </c>
      <c r="C52" s="14">
        <f>CENTRALA!C32+'Razem OW'!C32</f>
        <v>0</v>
      </c>
      <c r="D52" s="14">
        <f>CENTRALA!D32+'Razem OW'!D32</f>
        <v>0</v>
      </c>
      <c r="E52" s="77" t="str">
        <f t="shared" si="0"/>
        <v>-</v>
      </c>
      <c r="F52" s="106" t="str">
        <f t="shared" si="1"/>
        <v>-</v>
      </c>
    </row>
    <row r="53" spans="1:6" ht="30" customHeight="1">
      <c r="A53" s="61" t="s">
        <v>120</v>
      </c>
      <c r="B53" s="63" t="s">
        <v>183</v>
      </c>
      <c r="C53" s="14">
        <f>CENTRALA!C33+'Razem OW'!C33</f>
        <v>361545</v>
      </c>
      <c r="D53" s="14">
        <f>CENTRALA!D33+'Razem OW'!D33</f>
        <v>361545</v>
      </c>
      <c r="E53" s="77" t="str">
        <f t="shared" si="0"/>
        <v>-</v>
      </c>
      <c r="F53" s="106">
        <f t="shared" si="1"/>
        <v>1</v>
      </c>
    </row>
    <row r="54" spans="1:6" ht="30" customHeight="1">
      <c r="A54" s="61" t="s">
        <v>192</v>
      </c>
      <c r="B54" s="63" t="s">
        <v>193</v>
      </c>
      <c r="C54" s="14">
        <f>CENTRALA!C34+'Razem OW'!C34</f>
        <v>305934</v>
      </c>
      <c r="D54" s="14">
        <f>CENTRALA!D34+'Razem OW'!D34</f>
        <v>305934</v>
      </c>
      <c r="E54" s="77" t="str">
        <f>IF(C54=D54,"-",D54-C54)</f>
        <v>-</v>
      </c>
      <c r="F54" s="106">
        <f>IF(C54=0,"-",D54/C54)</f>
        <v>1</v>
      </c>
    </row>
    <row r="55" spans="1:6" s="13" customFormat="1" ht="30.75" customHeight="1">
      <c r="A55" s="32" t="s">
        <v>58</v>
      </c>
      <c r="B55" s="64" t="s">
        <v>100</v>
      </c>
      <c r="C55" s="21">
        <f>CENTRALA!C35+'Razem OW'!C35</f>
        <v>0</v>
      </c>
      <c r="D55" s="21">
        <f>C55</f>
        <v>0</v>
      </c>
      <c r="E55" s="21" t="str">
        <f t="shared" si="0"/>
        <v>-</v>
      </c>
      <c r="F55" s="102" t="str">
        <f t="shared" si="1"/>
        <v>-</v>
      </c>
    </row>
    <row r="56" spans="1:6" s="13" customFormat="1" ht="30.75" customHeight="1">
      <c r="A56" s="32" t="s">
        <v>57</v>
      </c>
      <c r="B56" s="64" t="s">
        <v>60</v>
      </c>
      <c r="C56" s="12">
        <f>CENTRALA!C36+'Razem OW'!C36</f>
        <v>1839959</v>
      </c>
      <c r="D56" s="12">
        <f>CENTRALA!D36+'Razem OW'!D36</f>
        <v>1839959</v>
      </c>
      <c r="E56" s="12" t="str">
        <f t="shared" si="0"/>
        <v>-</v>
      </c>
      <c r="F56" s="98">
        <f t="shared" si="1"/>
        <v>1</v>
      </c>
    </row>
    <row r="57" spans="1:6" s="13" customFormat="1" ht="45.75" customHeight="1">
      <c r="A57" s="32" t="s">
        <v>174</v>
      </c>
      <c r="B57" s="64" t="s">
        <v>175</v>
      </c>
      <c r="C57" s="12">
        <f>CENTRALA!C37+'Razem OW'!C37</f>
        <v>10901083</v>
      </c>
      <c r="D57" s="12">
        <f>CENTRALA!D37+'Razem OW'!D37</f>
        <v>10901083</v>
      </c>
      <c r="E57" s="12" t="str">
        <f>IF(C57=D57,"-",D57-C57)</f>
        <v>-</v>
      </c>
      <c r="F57" s="98">
        <f t="shared" si="1"/>
        <v>1</v>
      </c>
    </row>
    <row r="58" spans="1:6" s="13" customFormat="1" ht="33" customHeight="1">
      <c r="A58" s="52" t="s">
        <v>145</v>
      </c>
      <c r="B58" s="53" t="s">
        <v>126</v>
      </c>
      <c r="C58" s="12">
        <f>C20-C25</f>
        <v>-491744</v>
      </c>
      <c r="D58" s="12">
        <f>D20-D25</f>
        <v>-558208</v>
      </c>
      <c r="E58" s="12">
        <f t="shared" si="0"/>
        <v>-66464</v>
      </c>
      <c r="F58" s="98">
        <f t="shared" si="1"/>
        <v>1.1352</v>
      </c>
    </row>
    <row r="59" spans="1:6" s="13" customFormat="1" ht="33" customHeight="1">
      <c r="A59" s="52" t="s">
        <v>146</v>
      </c>
      <c r="B59" s="53" t="s">
        <v>207</v>
      </c>
      <c r="C59" s="12">
        <f>C60+C61+C62+C70+C72+C77+C78+C79</f>
        <v>704620</v>
      </c>
      <c r="D59" s="12">
        <f>D60+D61+D62+D70+D72+D77+D78+D79</f>
        <v>704620</v>
      </c>
      <c r="E59" s="12" t="str">
        <f t="shared" si="0"/>
        <v>-</v>
      </c>
      <c r="F59" s="98">
        <f t="shared" si="1"/>
        <v>1</v>
      </c>
    </row>
    <row r="60" spans="1:6" ht="30" customHeight="1">
      <c r="A60" s="54" t="s">
        <v>17</v>
      </c>
      <c r="B60" s="50" t="s">
        <v>18</v>
      </c>
      <c r="C60" s="14">
        <f>CENTRALA!C39+'Razem OW'!C39</f>
        <v>28994</v>
      </c>
      <c r="D60" s="14">
        <f>CENTRALA!D39+'Razem OW'!D39</f>
        <v>28994</v>
      </c>
      <c r="E60" s="14" t="str">
        <f t="shared" si="0"/>
        <v>-</v>
      </c>
      <c r="F60" s="99">
        <f t="shared" si="1"/>
        <v>1</v>
      </c>
    </row>
    <row r="61" spans="1:6" ht="30" customHeight="1">
      <c r="A61" s="54" t="s">
        <v>19</v>
      </c>
      <c r="B61" s="50" t="s">
        <v>20</v>
      </c>
      <c r="C61" s="14">
        <f>CENTRALA!C40+'Razem OW'!C40</f>
        <v>165654</v>
      </c>
      <c r="D61" s="14">
        <f>CENTRALA!D40+'Razem OW'!D40</f>
        <v>165654</v>
      </c>
      <c r="E61" s="14" t="str">
        <f t="shared" si="0"/>
        <v>-</v>
      </c>
      <c r="F61" s="99">
        <f t="shared" si="1"/>
        <v>1</v>
      </c>
    </row>
    <row r="62" spans="1:6" ht="30" customHeight="1">
      <c r="A62" s="54" t="s">
        <v>21</v>
      </c>
      <c r="B62" s="65" t="s">
        <v>208</v>
      </c>
      <c r="C62" s="14">
        <f>C63+C65+C66+C67+C68+C69</f>
        <v>5212</v>
      </c>
      <c r="D62" s="14">
        <f>D63+D65+D66+D67+D68+D69</f>
        <v>5212</v>
      </c>
      <c r="E62" s="14" t="str">
        <f t="shared" si="0"/>
        <v>-</v>
      </c>
      <c r="F62" s="99">
        <f t="shared" si="1"/>
        <v>1</v>
      </c>
    </row>
    <row r="63" spans="1:6" s="16" customFormat="1" ht="30" customHeight="1">
      <c r="A63" s="66" t="s">
        <v>39</v>
      </c>
      <c r="B63" s="67" t="s">
        <v>32</v>
      </c>
      <c r="C63" s="14">
        <f>CENTRALA!C42+'Razem OW'!C42</f>
        <v>618</v>
      </c>
      <c r="D63" s="14">
        <f>CENTRALA!D42+'Razem OW'!D42</f>
        <v>618</v>
      </c>
      <c r="E63" s="14" t="str">
        <f t="shared" si="0"/>
        <v>-</v>
      </c>
      <c r="F63" s="99">
        <f t="shared" si="1"/>
        <v>1</v>
      </c>
    </row>
    <row r="64" spans="1:6" s="16" customFormat="1" ht="30" customHeight="1">
      <c r="A64" s="66" t="s">
        <v>40</v>
      </c>
      <c r="B64" s="68" t="s">
        <v>33</v>
      </c>
      <c r="C64" s="14">
        <f>CENTRALA!C43+'Razem OW'!C43</f>
        <v>591</v>
      </c>
      <c r="D64" s="14">
        <f>CENTRALA!D43+'Razem OW'!D43</f>
        <v>591</v>
      </c>
      <c r="E64" s="14" t="str">
        <f t="shared" si="0"/>
        <v>-</v>
      </c>
      <c r="F64" s="99">
        <f t="shared" si="1"/>
        <v>1</v>
      </c>
    </row>
    <row r="65" spans="1:6" s="16" customFormat="1" ht="30" customHeight="1">
      <c r="A65" s="66" t="s">
        <v>41</v>
      </c>
      <c r="B65" s="67" t="s">
        <v>34</v>
      </c>
      <c r="C65" s="14">
        <f>CENTRALA!C44+'Razem OW'!C44</f>
        <v>543</v>
      </c>
      <c r="D65" s="14">
        <f>CENTRALA!D44+'Razem OW'!D44</f>
        <v>543</v>
      </c>
      <c r="E65" s="14" t="str">
        <f t="shared" si="0"/>
        <v>-</v>
      </c>
      <c r="F65" s="99">
        <f t="shared" si="1"/>
        <v>1</v>
      </c>
    </row>
    <row r="66" spans="1:6" s="16" customFormat="1" ht="30" customHeight="1">
      <c r="A66" s="66" t="s">
        <v>42</v>
      </c>
      <c r="B66" s="67" t="s">
        <v>35</v>
      </c>
      <c r="C66" s="14">
        <f>CENTRALA!C45+'Razem OW'!C45</f>
        <v>32</v>
      </c>
      <c r="D66" s="14">
        <f>CENTRALA!D45+'Razem OW'!D45</f>
        <v>32</v>
      </c>
      <c r="E66" s="14" t="str">
        <f t="shared" si="0"/>
        <v>-</v>
      </c>
      <c r="F66" s="99">
        <f t="shared" si="1"/>
        <v>1</v>
      </c>
    </row>
    <row r="67" spans="1:6" s="16" customFormat="1" ht="30" customHeight="1">
      <c r="A67" s="66" t="s">
        <v>43</v>
      </c>
      <c r="B67" s="67" t="s">
        <v>36</v>
      </c>
      <c r="C67" s="14">
        <f>CENTRALA!C46+'Razem OW'!C46</f>
        <v>0</v>
      </c>
      <c r="D67" s="14">
        <f>CENTRALA!D46+'Razem OW'!D46</f>
        <v>0</v>
      </c>
      <c r="E67" s="14" t="str">
        <f t="shared" si="0"/>
        <v>-</v>
      </c>
      <c r="F67" s="99" t="str">
        <f t="shared" si="1"/>
        <v>-</v>
      </c>
    </row>
    <row r="68" spans="1:6" s="16" customFormat="1" ht="30" customHeight="1">
      <c r="A68" s="66" t="s">
        <v>44</v>
      </c>
      <c r="B68" s="67" t="s">
        <v>37</v>
      </c>
      <c r="C68" s="14">
        <f>CENTRALA!C47+'Razem OW'!C47</f>
        <v>3714</v>
      </c>
      <c r="D68" s="14">
        <f>CENTRALA!D47+'Razem OW'!D47</f>
        <v>3714</v>
      </c>
      <c r="E68" s="14" t="str">
        <f t="shared" si="0"/>
        <v>-</v>
      </c>
      <c r="F68" s="99">
        <f t="shared" si="1"/>
        <v>1</v>
      </c>
    </row>
    <row r="69" spans="1:6" s="17" customFormat="1" ht="30" customHeight="1">
      <c r="A69" s="66" t="s">
        <v>45</v>
      </c>
      <c r="B69" s="67" t="s">
        <v>38</v>
      </c>
      <c r="C69" s="14">
        <f>CENTRALA!C48+'Razem OW'!C48</f>
        <v>305</v>
      </c>
      <c r="D69" s="14">
        <f>CENTRALA!D48+'Razem OW'!D48</f>
        <v>305</v>
      </c>
      <c r="E69" s="14" t="str">
        <f t="shared" si="0"/>
        <v>-</v>
      </c>
      <c r="F69" s="99">
        <f t="shared" si="1"/>
        <v>1</v>
      </c>
    </row>
    <row r="70" spans="1:6" ht="30" customHeight="1">
      <c r="A70" s="31" t="s">
        <v>22</v>
      </c>
      <c r="B70" s="50" t="s">
        <v>176</v>
      </c>
      <c r="C70" s="14">
        <f>CENTRALA!C49+'Razem OW'!C49</f>
        <v>312857</v>
      </c>
      <c r="D70" s="14">
        <f>CENTRALA!D49+'Razem OW'!D49</f>
        <v>312857</v>
      </c>
      <c r="E70" s="14" t="str">
        <f t="shared" si="0"/>
        <v>-</v>
      </c>
      <c r="F70" s="99">
        <f t="shared" si="1"/>
        <v>1</v>
      </c>
    </row>
    <row r="71" spans="1:6" ht="30" customHeight="1">
      <c r="A71" s="66" t="s">
        <v>177</v>
      </c>
      <c r="B71" s="67" t="s">
        <v>178</v>
      </c>
      <c r="C71" s="14">
        <f>CENTRALA!C50+'Razem OW'!C50</f>
        <v>1555</v>
      </c>
      <c r="D71" s="14">
        <f>CENTRALA!D50+'Razem OW'!D50</f>
        <v>1555</v>
      </c>
      <c r="E71" s="14" t="str">
        <f t="shared" si="0"/>
        <v>-</v>
      </c>
      <c r="F71" s="99">
        <f t="shared" si="1"/>
        <v>1</v>
      </c>
    </row>
    <row r="72" spans="1:6" ht="30" customHeight="1">
      <c r="A72" s="54" t="s">
        <v>23</v>
      </c>
      <c r="B72" s="59" t="s">
        <v>198</v>
      </c>
      <c r="C72" s="14">
        <f>SUM(C73:C76)</f>
        <v>70321</v>
      </c>
      <c r="D72" s="14">
        <f>SUM(D73:D76)</f>
        <v>70321</v>
      </c>
      <c r="E72" s="14" t="str">
        <f t="shared" si="0"/>
        <v>-</v>
      </c>
      <c r="F72" s="99">
        <f t="shared" si="1"/>
        <v>1</v>
      </c>
    </row>
    <row r="73" spans="1:6" s="16" customFormat="1" ht="30" customHeight="1">
      <c r="A73" s="66" t="s">
        <v>50</v>
      </c>
      <c r="B73" s="67" t="s">
        <v>46</v>
      </c>
      <c r="C73" s="14">
        <f>CENTRALA!C52+'Razem OW'!C52</f>
        <v>53474</v>
      </c>
      <c r="D73" s="14">
        <f>CENTRALA!D52+'Razem OW'!D52</f>
        <v>53474</v>
      </c>
      <c r="E73" s="14" t="str">
        <f t="shared" si="0"/>
        <v>-</v>
      </c>
      <c r="F73" s="99">
        <f t="shared" si="1"/>
        <v>1</v>
      </c>
    </row>
    <row r="74" spans="1:6" s="16" customFormat="1" ht="30" customHeight="1">
      <c r="A74" s="66" t="s">
        <v>51</v>
      </c>
      <c r="B74" s="67" t="s">
        <v>47</v>
      </c>
      <c r="C74" s="14">
        <f>CENTRALA!C53+'Razem OW'!C53</f>
        <v>7548</v>
      </c>
      <c r="D74" s="14">
        <f>CENTRALA!D53+'Razem OW'!D53</f>
        <v>7548</v>
      </c>
      <c r="E74" s="14" t="str">
        <f t="shared" si="0"/>
        <v>-</v>
      </c>
      <c r="F74" s="99">
        <f t="shared" si="1"/>
        <v>1</v>
      </c>
    </row>
    <row r="75" spans="1:6" s="16" customFormat="1" ht="30" customHeight="1">
      <c r="A75" s="66" t="s">
        <v>52</v>
      </c>
      <c r="B75" s="67" t="s">
        <v>48</v>
      </c>
      <c r="C75" s="14">
        <f>CENTRALA!C54+'Razem OW'!C54</f>
        <v>0</v>
      </c>
      <c r="D75" s="14">
        <f>CENTRALA!D54+'Razem OW'!D54</f>
        <v>0</v>
      </c>
      <c r="E75" s="14" t="str">
        <f t="shared" si="0"/>
        <v>-</v>
      </c>
      <c r="F75" s="99" t="str">
        <f t="shared" si="1"/>
        <v>-</v>
      </c>
    </row>
    <row r="76" spans="1:6" s="16" customFormat="1" ht="30" customHeight="1">
      <c r="A76" s="66" t="s">
        <v>53</v>
      </c>
      <c r="B76" s="67" t="s">
        <v>49</v>
      </c>
      <c r="C76" s="14">
        <f>CENTRALA!C55+'Razem OW'!C55</f>
        <v>9299</v>
      </c>
      <c r="D76" s="14">
        <f>CENTRALA!D55+'Razem OW'!D55</f>
        <v>9299</v>
      </c>
      <c r="E76" s="14" t="str">
        <f t="shared" si="0"/>
        <v>-</v>
      </c>
      <c r="F76" s="99">
        <f t="shared" si="1"/>
        <v>1</v>
      </c>
    </row>
    <row r="77" spans="1:6" ht="30" customHeight="1">
      <c r="A77" s="54" t="s">
        <v>24</v>
      </c>
      <c r="B77" s="55" t="s">
        <v>25</v>
      </c>
      <c r="C77" s="14">
        <f>CENTRALA!C56+'Razem OW'!C56</f>
        <v>50</v>
      </c>
      <c r="D77" s="14">
        <f>CENTRALA!D56+'Razem OW'!D56</f>
        <v>50</v>
      </c>
      <c r="E77" s="14" t="str">
        <f t="shared" si="0"/>
        <v>-</v>
      </c>
      <c r="F77" s="99">
        <f t="shared" si="1"/>
        <v>1</v>
      </c>
    </row>
    <row r="78" spans="1:6" ht="42" customHeight="1">
      <c r="A78" s="54" t="s">
        <v>26</v>
      </c>
      <c r="B78" s="55" t="s">
        <v>179</v>
      </c>
      <c r="C78" s="77">
        <f>CENTRALA!C57+'Razem OW'!C57</f>
        <v>113871</v>
      </c>
      <c r="D78" s="77">
        <f>CENTRALA!D57+'Razem OW'!D57</f>
        <v>113871</v>
      </c>
      <c r="E78" s="14" t="str">
        <f t="shared" si="0"/>
        <v>-</v>
      </c>
      <c r="F78" s="99">
        <f t="shared" si="1"/>
        <v>1</v>
      </c>
    </row>
    <row r="79" spans="1:6" ht="30" customHeight="1">
      <c r="A79" s="54" t="s">
        <v>27</v>
      </c>
      <c r="B79" s="55" t="s">
        <v>28</v>
      </c>
      <c r="C79" s="14">
        <f>CENTRALA!C58+'Razem OW'!C58</f>
        <v>7661</v>
      </c>
      <c r="D79" s="14">
        <f>CENTRALA!D58+'Razem OW'!D58</f>
        <v>7661</v>
      </c>
      <c r="E79" s="14" t="str">
        <f t="shared" si="0"/>
        <v>-</v>
      </c>
      <c r="F79" s="99">
        <f t="shared" si="1"/>
        <v>1</v>
      </c>
    </row>
    <row r="80" spans="1:6" s="13" customFormat="1" ht="33" customHeight="1">
      <c r="A80" s="69" t="s">
        <v>147</v>
      </c>
      <c r="B80" s="70" t="s">
        <v>181</v>
      </c>
      <c r="C80" s="12">
        <v>265292</v>
      </c>
      <c r="D80" s="12">
        <f>C80</f>
        <v>265292</v>
      </c>
      <c r="E80" s="12" t="str">
        <f t="shared" si="0"/>
        <v>-</v>
      </c>
      <c r="F80" s="98">
        <f t="shared" si="1"/>
        <v>1</v>
      </c>
    </row>
    <row r="81" spans="1:6" s="13" customFormat="1" ht="33" customHeight="1">
      <c r="A81" s="69" t="s">
        <v>148</v>
      </c>
      <c r="B81" s="70" t="s">
        <v>209</v>
      </c>
      <c r="C81" s="12">
        <f>C82+C83+C84+C85</f>
        <v>328675</v>
      </c>
      <c r="D81" s="12">
        <f>D82+D83+D84+D85</f>
        <v>264831</v>
      </c>
      <c r="E81" s="12">
        <f aca="true" t="shared" si="2" ref="E81:E98">IF(C81=D81,"-",D81-C81)</f>
        <v>-63844</v>
      </c>
      <c r="F81" s="98">
        <f aca="true" t="shared" si="3" ref="F81:F98">IF(C81=0,"-",D81/C81)</f>
        <v>0.8058</v>
      </c>
    </row>
    <row r="82" spans="1:6" ht="47.25" customHeight="1">
      <c r="A82" s="54" t="s">
        <v>101</v>
      </c>
      <c r="B82" s="55" t="s">
        <v>123</v>
      </c>
      <c r="C82" s="14">
        <f>CENTRALA!C60+'Razem OW'!C60</f>
        <v>919</v>
      </c>
      <c r="D82" s="14">
        <f>CENTRALA!D60+'Razem OW'!D60</f>
        <v>712</v>
      </c>
      <c r="E82" s="14">
        <f t="shared" si="2"/>
        <v>-207</v>
      </c>
      <c r="F82" s="99">
        <f t="shared" si="3"/>
        <v>0.7748</v>
      </c>
    </row>
    <row r="83" spans="1:6" ht="33.75" customHeight="1">
      <c r="A83" s="54" t="s">
        <v>30</v>
      </c>
      <c r="B83" s="55" t="s">
        <v>55</v>
      </c>
      <c r="C83" s="14">
        <f>CENTRALA!C61+'Razem OW'!C61</f>
        <v>242590</v>
      </c>
      <c r="D83" s="14">
        <f>CENTRALA!D61+'Razem OW'!D61</f>
        <v>171615</v>
      </c>
      <c r="E83" s="14">
        <f t="shared" si="2"/>
        <v>-70975</v>
      </c>
      <c r="F83" s="99">
        <f t="shared" si="3"/>
        <v>0.7074</v>
      </c>
    </row>
    <row r="84" spans="1:6" ht="30" customHeight="1">
      <c r="A84" s="54" t="s">
        <v>31</v>
      </c>
      <c r="B84" s="55" t="s">
        <v>103</v>
      </c>
      <c r="C84" s="14">
        <f>CENTRALA!C62+'Razem OW'!C62</f>
        <v>46737</v>
      </c>
      <c r="D84" s="14">
        <f>CENTRALA!D62+'Razem OW'!D62</f>
        <v>46737</v>
      </c>
      <c r="E84" s="14" t="str">
        <f t="shared" si="2"/>
        <v>-</v>
      </c>
      <c r="F84" s="99">
        <f t="shared" si="3"/>
        <v>1</v>
      </c>
    </row>
    <row r="85" spans="1:6" ht="30" customHeight="1">
      <c r="A85" s="54" t="s">
        <v>102</v>
      </c>
      <c r="B85" s="59" t="s">
        <v>104</v>
      </c>
      <c r="C85" s="14">
        <f>CENTRALA!C63+'Razem OW'!C63</f>
        <v>38429</v>
      </c>
      <c r="D85" s="14">
        <f>CENTRALA!D63+'Razem OW'!D63</f>
        <v>45767</v>
      </c>
      <c r="E85" s="14">
        <f t="shared" si="2"/>
        <v>7338</v>
      </c>
      <c r="F85" s="99">
        <f t="shared" si="3"/>
        <v>1.1909</v>
      </c>
    </row>
    <row r="86" spans="1:6" s="13" customFormat="1" ht="33" customHeight="1">
      <c r="A86" s="69" t="s">
        <v>149</v>
      </c>
      <c r="B86" s="70" t="s">
        <v>210</v>
      </c>
      <c r="C86" s="12">
        <f>C87+C88</f>
        <v>86447</v>
      </c>
      <c r="D86" s="12">
        <f>D87+D88</f>
        <v>86447</v>
      </c>
      <c r="E86" s="12" t="str">
        <f t="shared" si="2"/>
        <v>-</v>
      </c>
      <c r="F86" s="98">
        <f t="shared" si="3"/>
        <v>1</v>
      </c>
    </row>
    <row r="87" spans="1:6" ht="30" customHeight="1">
      <c r="A87" s="54" t="s">
        <v>105</v>
      </c>
      <c r="B87" s="55" t="s">
        <v>106</v>
      </c>
      <c r="C87" s="14">
        <v>70707</v>
      </c>
      <c r="D87" s="14">
        <f>C87</f>
        <v>70707</v>
      </c>
      <c r="E87" s="14" t="str">
        <f t="shared" si="2"/>
        <v>-</v>
      </c>
      <c r="F87" s="99">
        <f t="shared" si="3"/>
        <v>1</v>
      </c>
    </row>
    <row r="88" spans="1:6" ht="30" customHeight="1">
      <c r="A88" s="54" t="s">
        <v>107</v>
      </c>
      <c r="B88" s="59" t="s">
        <v>108</v>
      </c>
      <c r="C88" s="14">
        <v>15740</v>
      </c>
      <c r="D88" s="14">
        <f>C88</f>
        <v>15740</v>
      </c>
      <c r="E88" s="14" t="str">
        <f t="shared" si="2"/>
        <v>-</v>
      </c>
      <c r="F88" s="99">
        <f t="shared" si="3"/>
        <v>1</v>
      </c>
    </row>
    <row r="89" spans="1:6" s="13" customFormat="1" ht="39.75" customHeight="1">
      <c r="A89" s="69" t="s">
        <v>150</v>
      </c>
      <c r="B89" s="70" t="s">
        <v>128</v>
      </c>
      <c r="C89" s="12">
        <f>CENTRALA!C64+'Razem OW'!C64</f>
        <v>82997</v>
      </c>
      <c r="D89" s="12">
        <f>CENTRALA!D64+'Razem OW'!D64</f>
        <v>80377</v>
      </c>
      <c r="E89" s="12">
        <f t="shared" si="2"/>
        <v>-2620</v>
      </c>
      <c r="F89" s="98">
        <f t="shared" si="3"/>
        <v>0.9684</v>
      </c>
    </row>
    <row r="90" spans="1:6" s="13" customFormat="1" ht="64.5" customHeight="1">
      <c r="A90" s="69" t="s">
        <v>151</v>
      </c>
      <c r="B90" s="70" t="s">
        <v>117</v>
      </c>
      <c r="C90" s="12">
        <f>C58-C59+C80-C81+C86-C89</f>
        <v>-1256297</v>
      </c>
      <c r="D90" s="12">
        <f>D58-D59+D80-D81+D86-D89</f>
        <v>-1256297</v>
      </c>
      <c r="E90" s="12" t="str">
        <f t="shared" si="2"/>
        <v>-</v>
      </c>
      <c r="F90" s="98">
        <f t="shared" si="3"/>
        <v>1</v>
      </c>
    </row>
    <row r="91" spans="1:6" s="13" customFormat="1" ht="33" customHeight="1">
      <c r="A91" s="69" t="s">
        <v>152</v>
      </c>
      <c r="B91" s="70" t="s">
        <v>124</v>
      </c>
      <c r="C91" s="12">
        <f>C92-C93</f>
        <v>0</v>
      </c>
      <c r="D91" s="12">
        <f>D92-D93</f>
        <v>0</v>
      </c>
      <c r="E91" s="12" t="str">
        <f t="shared" si="2"/>
        <v>-</v>
      </c>
      <c r="F91" s="98" t="str">
        <f t="shared" si="3"/>
        <v>-</v>
      </c>
    </row>
    <row r="92" spans="1:6" ht="30" customHeight="1">
      <c r="A92" s="54" t="s">
        <v>110</v>
      </c>
      <c r="B92" s="55" t="s">
        <v>111</v>
      </c>
      <c r="C92" s="14">
        <f>'[4]NFZ'!$D90</f>
        <v>0</v>
      </c>
      <c r="D92" s="14">
        <f>C92</f>
        <v>0</v>
      </c>
      <c r="E92" s="14" t="str">
        <f t="shared" si="2"/>
        <v>-</v>
      </c>
      <c r="F92" s="99" t="str">
        <f t="shared" si="3"/>
        <v>-</v>
      </c>
    </row>
    <row r="93" spans="1:6" ht="30" customHeight="1">
      <c r="A93" s="54" t="s">
        <v>112</v>
      </c>
      <c r="B93" s="55" t="s">
        <v>113</v>
      </c>
      <c r="C93" s="14">
        <f>'[4]NFZ'!$D91</f>
        <v>0</v>
      </c>
      <c r="D93" s="14">
        <f>C93</f>
        <v>0</v>
      </c>
      <c r="E93" s="14" t="str">
        <f t="shared" si="2"/>
        <v>-</v>
      </c>
      <c r="F93" s="99" t="str">
        <f t="shared" si="3"/>
        <v>-</v>
      </c>
    </row>
    <row r="94" spans="1:6" s="18" customFormat="1" ht="33" customHeight="1">
      <c r="A94" s="69" t="s">
        <v>153</v>
      </c>
      <c r="B94" s="71" t="s">
        <v>125</v>
      </c>
      <c r="C94" s="73">
        <f>C90+C91</f>
        <v>-1256297</v>
      </c>
      <c r="D94" s="73">
        <f>D90+D91</f>
        <v>-1256297</v>
      </c>
      <c r="E94" s="73" t="str">
        <f t="shared" si="2"/>
        <v>-</v>
      </c>
      <c r="F94" s="103">
        <f t="shared" si="3"/>
        <v>1</v>
      </c>
    </row>
    <row r="95" spans="1:6" s="18" customFormat="1" ht="69" customHeight="1">
      <c r="A95" s="69" t="s">
        <v>154</v>
      </c>
      <c r="B95" s="71" t="s">
        <v>114</v>
      </c>
      <c r="C95" s="73">
        <f>'[4]NFZ'!$D$93</f>
        <v>0</v>
      </c>
      <c r="D95" s="73">
        <f>C95</f>
        <v>0</v>
      </c>
      <c r="E95" s="73" t="str">
        <f t="shared" si="2"/>
        <v>-</v>
      </c>
      <c r="F95" s="103" t="str">
        <f t="shared" si="3"/>
        <v>-</v>
      </c>
    </row>
    <row r="96" spans="1:6" s="18" customFormat="1" ht="33" customHeight="1">
      <c r="A96" s="69" t="s">
        <v>155</v>
      </c>
      <c r="B96" s="71" t="s">
        <v>129</v>
      </c>
      <c r="C96" s="73">
        <f>C94-C95</f>
        <v>-1256297</v>
      </c>
      <c r="D96" s="73">
        <f>D94-D95</f>
        <v>-1256297</v>
      </c>
      <c r="E96" s="73" t="str">
        <f t="shared" si="2"/>
        <v>-</v>
      </c>
      <c r="F96" s="103">
        <f t="shared" si="3"/>
        <v>1</v>
      </c>
    </row>
    <row r="97" spans="1:6" s="18" customFormat="1" ht="33" customHeight="1">
      <c r="A97" s="52" t="s">
        <v>156</v>
      </c>
      <c r="B97" s="72" t="s">
        <v>115</v>
      </c>
      <c r="C97" s="73">
        <f>C7+C13+C21+C22+C23+C24+C80+C86-C19</f>
        <v>66909138</v>
      </c>
      <c r="D97" s="73">
        <f>D7+D13+D21+D22+D23+D24+D80+D86-D19</f>
        <v>66909138</v>
      </c>
      <c r="E97" s="73" t="str">
        <f t="shared" si="2"/>
        <v>-</v>
      </c>
      <c r="F97" s="103">
        <f t="shared" si="3"/>
        <v>1</v>
      </c>
    </row>
    <row r="98" spans="1:6" s="18" customFormat="1" ht="33" customHeight="1">
      <c r="A98" s="69" t="s">
        <v>157</v>
      </c>
      <c r="B98" s="71" t="s">
        <v>116</v>
      </c>
      <c r="C98" s="73">
        <f>C10+C16+C26+C27+C55+C56+C59+C81+C89</f>
        <v>68165435</v>
      </c>
      <c r="D98" s="73">
        <f>D10+D16+D26+D27+D55+D56+D59+D81+D89</f>
        <v>68165435</v>
      </c>
      <c r="E98" s="73" t="str">
        <f t="shared" si="2"/>
        <v>-</v>
      </c>
      <c r="F98" s="103">
        <f t="shared" si="3"/>
        <v>1</v>
      </c>
    </row>
    <row r="99" ht="26.25">
      <c r="C99" s="19"/>
    </row>
    <row r="100" ht="26.25">
      <c r="C100" s="19"/>
    </row>
    <row r="101" ht="26.25">
      <c r="C101" s="19"/>
    </row>
    <row r="102" ht="26.25">
      <c r="C102" s="19"/>
    </row>
    <row r="103" ht="26.25">
      <c r="C103" s="19"/>
    </row>
    <row r="104" ht="26.25">
      <c r="C104" s="19"/>
    </row>
    <row r="105" ht="26.25">
      <c r="C105" s="19"/>
    </row>
    <row r="106" ht="26.25">
      <c r="C106" s="19"/>
    </row>
    <row r="107" ht="26.25">
      <c r="C107" s="19"/>
    </row>
    <row r="108" ht="26.25">
      <c r="C108" s="19"/>
    </row>
    <row r="109" ht="26.25">
      <c r="C109" s="19"/>
    </row>
  </sheetData>
  <sheetProtection/>
  <mergeCells count="8">
    <mergeCell ref="A2:B2"/>
    <mergeCell ref="A4:A5"/>
    <mergeCell ref="B4:B5"/>
    <mergeCell ref="C4:C5"/>
    <mergeCell ref="A1:F1"/>
    <mergeCell ref="D4:D5"/>
    <mergeCell ref="E4:E5"/>
    <mergeCell ref="F4:F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67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9177460</v>
      </c>
      <c r="D7" s="15">
        <f>D8+D9+D10+D15+D16+D17+D18+D19+D20+D21+D22+D23+D24+D25+D29+D30+D32+D33</f>
        <v>9186938</v>
      </c>
      <c r="E7" s="12">
        <f>IF(C7=D7,"-",D7-C7)</f>
        <v>9478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1089175</v>
      </c>
      <c r="D8" s="24">
        <f>C8</f>
        <v>1089175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774865</v>
      </c>
      <c r="D9" s="24">
        <f aca="true" t="shared" si="2" ref="D9:D34">C9</f>
        <v>774865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4578750</v>
      </c>
      <c r="D10" s="24">
        <f>C10+9478</f>
        <v>4588228</v>
      </c>
      <c r="E10" s="92">
        <f t="shared" si="0"/>
        <v>9478</v>
      </c>
      <c r="F10" s="93">
        <f t="shared" si="1"/>
        <v>1.0021</v>
      </c>
    </row>
    <row r="11" spans="1:6" ht="31.5" customHeight="1">
      <c r="A11" s="27" t="s">
        <v>56</v>
      </c>
      <c r="B11" s="33" t="s">
        <v>159</v>
      </c>
      <c r="C11" s="78">
        <v>408474</v>
      </c>
      <c r="D11" s="24">
        <f t="shared" si="2"/>
        <v>408474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372374</v>
      </c>
      <c r="D12" s="24">
        <f t="shared" si="2"/>
        <v>372374</v>
      </c>
      <c r="E12" s="92" t="str">
        <f>IF(C12=D12,"-",D12-C12)</f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219545</v>
      </c>
      <c r="D13" s="24">
        <f t="shared" si="2"/>
        <v>219545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77973</v>
      </c>
      <c r="D14" s="24">
        <f t="shared" si="2"/>
        <v>77973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361811</v>
      </c>
      <c r="D15" s="24">
        <f t="shared" si="2"/>
        <v>361811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396281</v>
      </c>
      <c r="D16" s="24">
        <f t="shared" si="2"/>
        <v>396281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146215</v>
      </c>
      <c r="D17" s="24">
        <f t="shared" si="2"/>
        <v>146215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41110</v>
      </c>
      <c r="D18" s="24">
        <f t="shared" si="2"/>
        <v>41110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191891</v>
      </c>
      <c r="D19" s="24">
        <f t="shared" si="2"/>
        <v>191891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95731</v>
      </c>
      <c r="D20" s="24">
        <f t="shared" si="2"/>
        <v>95731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7805</v>
      </c>
      <c r="D21" s="24">
        <f t="shared" si="2"/>
        <v>7805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22760</v>
      </c>
      <c r="D22" s="24">
        <f t="shared" si="2"/>
        <v>22760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257145</v>
      </c>
      <c r="D23" s="24">
        <f t="shared" si="2"/>
        <v>257145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109500</v>
      </c>
      <c r="D24" s="24">
        <f t="shared" si="2"/>
        <v>109500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1086552</v>
      </c>
      <c r="D25" s="78">
        <f>SUM(D26:D28)</f>
        <v>1086552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1078245</v>
      </c>
      <c r="D26" s="24">
        <f t="shared" si="2"/>
        <v>1078245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6252</v>
      </c>
      <c r="D27" s="24">
        <f t="shared" si="2"/>
        <v>6252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2055</v>
      </c>
      <c r="D28" s="24">
        <f t="shared" si="2"/>
        <v>2055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17869</v>
      </c>
      <c r="D33" s="24">
        <f t="shared" si="2"/>
        <v>17869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228795</v>
      </c>
      <c r="D36" s="89">
        <f>C36</f>
        <v>228795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1536899</v>
      </c>
      <c r="D37" s="81">
        <f>D12+D14+D25+D31</f>
        <v>1536899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68976</v>
      </c>
      <c r="D38" s="23">
        <f>D39+D40+D41+D49+D51+D57+D58+D56</f>
        <v>68976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2800</v>
      </c>
      <c r="D39" s="82">
        <f>C39</f>
        <v>2800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11602</v>
      </c>
      <c r="D40" s="82">
        <f>C40</f>
        <v>11602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461</v>
      </c>
      <c r="D41" s="82">
        <f>D42+D44+D45+D46+D47+D48</f>
        <v>461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28</v>
      </c>
      <c r="D42" s="82">
        <f>C42</f>
        <v>28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28</v>
      </c>
      <c r="D43" s="82">
        <f aca="true" t="shared" si="3" ref="D43:D55">C43</f>
        <v>28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40</v>
      </c>
      <c r="D44" s="82">
        <f t="shared" si="3"/>
        <v>40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365</v>
      </c>
      <c r="D47" s="82">
        <f t="shared" si="3"/>
        <v>365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28</v>
      </c>
      <c r="D48" s="82">
        <f>C48</f>
        <v>28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40421</v>
      </c>
      <c r="D49" s="82">
        <f>C49</f>
        <v>40421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89</v>
      </c>
      <c r="D50" s="82">
        <f>C50</f>
        <v>89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8938</v>
      </c>
      <c r="D51" s="75">
        <f>D52+D53+D54+D55</f>
        <v>8938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6948</v>
      </c>
      <c r="D52" s="82">
        <f t="shared" si="3"/>
        <v>6948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991</v>
      </c>
      <c r="D53" s="82">
        <f t="shared" si="3"/>
        <v>991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999</v>
      </c>
      <c r="D55" s="82">
        <f t="shared" si="3"/>
        <v>999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3622</v>
      </c>
      <c r="D57" s="82">
        <f>C57</f>
        <v>3622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1132</v>
      </c>
      <c r="D58" s="82">
        <f>C58</f>
        <v>1132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43099</v>
      </c>
      <c r="D59" s="26">
        <f>D60+D61+D62+D63</f>
        <v>38341</v>
      </c>
      <c r="E59" s="12">
        <f t="shared" si="0"/>
        <v>-4758</v>
      </c>
      <c r="F59" s="97">
        <f t="shared" si="1"/>
        <v>0.8896</v>
      </c>
    </row>
    <row r="60" spans="1:6" ht="42" customHeight="1">
      <c r="A60" s="30" t="s">
        <v>101</v>
      </c>
      <c r="B60" s="39" t="s">
        <v>123</v>
      </c>
      <c r="C60" s="78">
        <v>0</v>
      </c>
      <c r="D60" s="82">
        <f>C60</f>
        <v>0</v>
      </c>
      <c r="E60" s="75" t="str">
        <f t="shared" si="0"/>
        <v>-</v>
      </c>
      <c r="F60" s="93" t="str">
        <f t="shared" si="1"/>
        <v>-</v>
      </c>
    </row>
    <row r="61" spans="1:6" ht="31.5" customHeight="1">
      <c r="A61" s="30" t="s">
        <v>30</v>
      </c>
      <c r="B61" s="39" t="s">
        <v>55</v>
      </c>
      <c r="C61" s="78">
        <v>31799</v>
      </c>
      <c r="D61" s="82">
        <f>C61-4757</f>
        <v>27042</v>
      </c>
      <c r="E61" s="75">
        <f t="shared" si="0"/>
        <v>-4757</v>
      </c>
      <c r="F61" s="93">
        <f t="shared" si="1"/>
        <v>0.8504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11300</v>
      </c>
      <c r="D63" s="82">
        <f>C63-1</f>
        <v>11299</v>
      </c>
      <c r="E63" s="75">
        <f t="shared" si="0"/>
        <v>-1</v>
      </c>
      <c r="F63" s="93">
        <f t="shared" si="1"/>
        <v>0.9999</v>
      </c>
    </row>
    <row r="64" spans="1:6" ht="32.25" customHeight="1">
      <c r="A64" s="32" t="s">
        <v>109</v>
      </c>
      <c r="B64" s="44" t="s">
        <v>128</v>
      </c>
      <c r="C64" s="26">
        <v>12260</v>
      </c>
      <c r="D64" s="26">
        <f>C64+16464</f>
        <v>28724</v>
      </c>
      <c r="E64" s="12">
        <f t="shared" si="0"/>
        <v>16464</v>
      </c>
      <c r="F64" s="97">
        <f t="shared" si="1"/>
        <v>2.3429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G5" sqref="G5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68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1609186</v>
      </c>
      <c r="D7" s="15">
        <f>D8+D9+D10+D15+D16+D17+D18+D19+D20+D21+D22+D23+D24+D25+D29+D30+D32+D33</f>
        <v>1610833</v>
      </c>
      <c r="E7" s="12">
        <f>IF(C7=D7,"-",D7-C7)</f>
        <v>1647</v>
      </c>
      <c r="F7" s="91">
        <f>IF(C7=0,"-",D7/C7)</f>
        <v>1.001</v>
      </c>
    </row>
    <row r="8" spans="1:7" ht="33" customHeight="1">
      <c r="A8" s="28" t="s">
        <v>1</v>
      </c>
      <c r="B8" s="34" t="s">
        <v>132</v>
      </c>
      <c r="C8" s="78">
        <v>188231</v>
      </c>
      <c r="D8" s="24">
        <f>C8</f>
        <v>188231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  <c r="G8" s="83"/>
    </row>
    <row r="9" spans="1:7" ht="33" customHeight="1">
      <c r="A9" s="28" t="s">
        <v>2</v>
      </c>
      <c r="B9" s="34" t="s">
        <v>133</v>
      </c>
      <c r="C9" s="78">
        <v>134816</v>
      </c>
      <c r="D9" s="24">
        <f aca="true" t="shared" si="2" ref="D9:D34">C9</f>
        <v>134816</v>
      </c>
      <c r="E9" s="92" t="str">
        <f t="shared" si="0"/>
        <v>-</v>
      </c>
      <c r="F9" s="93">
        <f t="shared" si="1"/>
        <v>1</v>
      </c>
      <c r="G9" s="83"/>
    </row>
    <row r="10" spans="1:7" ht="33" customHeight="1">
      <c r="A10" s="28" t="s">
        <v>3</v>
      </c>
      <c r="B10" s="34" t="s">
        <v>130</v>
      </c>
      <c r="C10" s="78">
        <v>789473</v>
      </c>
      <c r="D10" s="24">
        <f>C10+1000</f>
        <v>790473</v>
      </c>
      <c r="E10" s="92">
        <f t="shared" si="0"/>
        <v>1000</v>
      </c>
      <c r="F10" s="93">
        <f t="shared" si="1"/>
        <v>1.0013</v>
      </c>
      <c r="G10" s="83"/>
    </row>
    <row r="11" spans="1:7" ht="31.5" customHeight="1">
      <c r="A11" s="27" t="s">
        <v>56</v>
      </c>
      <c r="B11" s="33" t="s">
        <v>159</v>
      </c>
      <c r="C11" s="78">
        <v>59413</v>
      </c>
      <c r="D11" s="24">
        <f t="shared" si="2"/>
        <v>59413</v>
      </c>
      <c r="E11" s="92" t="str">
        <f t="shared" si="0"/>
        <v>-</v>
      </c>
      <c r="F11" s="93">
        <f t="shared" si="1"/>
        <v>1</v>
      </c>
      <c r="G11" s="83"/>
    </row>
    <row r="12" spans="1:7" ht="31.5" customHeight="1">
      <c r="A12" s="27" t="s">
        <v>160</v>
      </c>
      <c r="B12" s="33" t="s">
        <v>163</v>
      </c>
      <c r="C12" s="78">
        <v>54509</v>
      </c>
      <c r="D12" s="24">
        <f t="shared" si="2"/>
        <v>54509</v>
      </c>
      <c r="E12" s="92" t="str">
        <f t="shared" si="0"/>
        <v>-</v>
      </c>
      <c r="F12" s="93">
        <f t="shared" si="1"/>
        <v>1</v>
      </c>
      <c r="G12" s="83"/>
    </row>
    <row r="13" spans="1:7" ht="31.5" customHeight="1">
      <c r="A13" s="27" t="s">
        <v>161</v>
      </c>
      <c r="B13" s="33" t="s">
        <v>164</v>
      </c>
      <c r="C13" s="78">
        <v>30283</v>
      </c>
      <c r="D13" s="24">
        <f t="shared" si="2"/>
        <v>30283</v>
      </c>
      <c r="E13" s="92" t="str">
        <f t="shared" si="0"/>
        <v>-</v>
      </c>
      <c r="F13" s="93">
        <f t="shared" si="1"/>
        <v>1</v>
      </c>
      <c r="G13" s="83"/>
    </row>
    <row r="14" spans="1:7" ht="31.5" customHeight="1">
      <c r="A14" s="27" t="s">
        <v>162</v>
      </c>
      <c r="B14" s="33" t="s">
        <v>165</v>
      </c>
      <c r="C14" s="78">
        <v>10849</v>
      </c>
      <c r="D14" s="24">
        <f t="shared" si="2"/>
        <v>10849</v>
      </c>
      <c r="E14" s="92" t="str">
        <f t="shared" si="0"/>
        <v>-</v>
      </c>
      <c r="F14" s="93">
        <f t="shared" si="1"/>
        <v>1</v>
      </c>
      <c r="G14" s="83"/>
    </row>
    <row r="15" spans="1:7" ht="33" customHeight="1">
      <c r="A15" s="28" t="s">
        <v>4</v>
      </c>
      <c r="B15" s="34" t="s">
        <v>138</v>
      </c>
      <c r="C15" s="78">
        <v>61899</v>
      </c>
      <c r="D15" s="24">
        <f>C15+647</f>
        <v>62546</v>
      </c>
      <c r="E15" s="92">
        <f t="shared" si="0"/>
        <v>647</v>
      </c>
      <c r="F15" s="93">
        <f t="shared" si="1"/>
        <v>1.0105</v>
      </c>
      <c r="G15" s="83"/>
    </row>
    <row r="16" spans="1:7" ht="33" customHeight="1">
      <c r="A16" s="28" t="s">
        <v>5</v>
      </c>
      <c r="B16" s="34" t="s">
        <v>134</v>
      </c>
      <c r="C16" s="78">
        <v>54180</v>
      </c>
      <c r="D16" s="24">
        <f t="shared" si="2"/>
        <v>54180</v>
      </c>
      <c r="E16" s="92" t="str">
        <f t="shared" si="0"/>
        <v>-</v>
      </c>
      <c r="F16" s="93">
        <f t="shared" si="1"/>
        <v>1</v>
      </c>
      <c r="G16" s="83"/>
    </row>
    <row r="17" spans="1:7" ht="33" customHeight="1">
      <c r="A17" s="28" t="s">
        <v>6</v>
      </c>
      <c r="B17" s="34" t="s">
        <v>140</v>
      </c>
      <c r="C17" s="78">
        <v>44165</v>
      </c>
      <c r="D17" s="24">
        <f t="shared" si="2"/>
        <v>44165</v>
      </c>
      <c r="E17" s="92" t="str">
        <f t="shared" si="0"/>
        <v>-</v>
      </c>
      <c r="F17" s="93">
        <f t="shared" si="1"/>
        <v>1</v>
      </c>
      <c r="G17" s="83"/>
    </row>
    <row r="18" spans="1:7" ht="33" customHeight="1">
      <c r="A18" s="28" t="s">
        <v>7</v>
      </c>
      <c r="B18" s="34" t="s">
        <v>139</v>
      </c>
      <c r="C18" s="78">
        <v>11001</v>
      </c>
      <c r="D18" s="24">
        <f t="shared" si="2"/>
        <v>11001</v>
      </c>
      <c r="E18" s="92" t="str">
        <f t="shared" si="0"/>
        <v>-</v>
      </c>
      <c r="F18" s="93">
        <f t="shared" si="1"/>
        <v>1</v>
      </c>
      <c r="G18" s="83"/>
    </row>
    <row r="19" spans="1:7" ht="33" customHeight="1">
      <c r="A19" s="28" t="s">
        <v>8</v>
      </c>
      <c r="B19" s="34" t="s">
        <v>135</v>
      </c>
      <c r="C19" s="78">
        <v>46514</v>
      </c>
      <c r="D19" s="24">
        <f t="shared" si="2"/>
        <v>46514</v>
      </c>
      <c r="E19" s="92" t="str">
        <f t="shared" si="0"/>
        <v>-</v>
      </c>
      <c r="F19" s="93">
        <f t="shared" si="1"/>
        <v>1</v>
      </c>
      <c r="G19" s="83"/>
    </row>
    <row r="20" spans="1:7" ht="33" customHeight="1">
      <c r="A20" s="28" t="s">
        <v>9</v>
      </c>
      <c r="B20" s="34" t="s">
        <v>136</v>
      </c>
      <c r="C20" s="78">
        <v>12900</v>
      </c>
      <c r="D20" s="24">
        <f t="shared" si="2"/>
        <v>12900</v>
      </c>
      <c r="E20" s="92" t="str">
        <f t="shared" si="0"/>
        <v>-</v>
      </c>
      <c r="F20" s="93">
        <f t="shared" si="1"/>
        <v>1</v>
      </c>
      <c r="G20" s="83"/>
    </row>
    <row r="21" spans="1:7" ht="33" customHeight="1">
      <c r="A21" s="28" t="s">
        <v>10</v>
      </c>
      <c r="B21" s="34" t="s">
        <v>141</v>
      </c>
      <c r="C21" s="78">
        <v>1350</v>
      </c>
      <c r="D21" s="24">
        <f t="shared" si="2"/>
        <v>1350</v>
      </c>
      <c r="E21" s="92" t="str">
        <f t="shared" si="0"/>
        <v>-</v>
      </c>
      <c r="F21" s="93">
        <f t="shared" si="1"/>
        <v>1</v>
      </c>
      <c r="G21" s="83"/>
    </row>
    <row r="22" spans="1:7" ht="46.5" customHeight="1">
      <c r="A22" s="28" t="s">
        <v>11</v>
      </c>
      <c r="B22" s="34" t="s">
        <v>137</v>
      </c>
      <c r="C22" s="78">
        <v>4477</v>
      </c>
      <c r="D22" s="24">
        <f t="shared" si="2"/>
        <v>4477</v>
      </c>
      <c r="E22" s="92" t="str">
        <f t="shared" si="0"/>
        <v>-</v>
      </c>
      <c r="F22" s="93">
        <f t="shared" si="1"/>
        <v>1</v>
      </c>
      <c r="G22" s="83"/>
    </row>
    <row r="23" spans="1:7" ht="33" customHeight="1">
      <c r="A23" s="28" t="s">
        <v>12</v>
      </c>
      <c r="B23" s="34" t="s">
        <v>182</v>
      </c>
      <c r="C23" s="78">
        <v>39554</v>
      </c>
      <c r="D23" s="24">
        <f t="shared" si="2"/>
        <v>39554</v>
      </c>
      <c r="E23" s="92" t="str">
        <f t="shared" si="0"/>
        <v>-</v>
      </c>
      <c r="F23" s="93">
        <f t="shared" si="1"/>
        <v>1</v>
      </c>
      <c r="G23" s="83"/>
    </row>
    <row r="24" spans="1:7" ht="33" customHeight="1">
      <c r="A24" s="28" t="s">
        <v>13</v>
      </c>
      <c r="B24" s="34" t="s">
        <v>166</v>
      </c>
      <c r="C24" s="78">
        <v>23000</v>
      </c>
      <c r="D24" s="24">
        <f t="shared" si="2"/>
        <v>23000</v>
      </c>
      <c r="E24" s="92" t="str">
        <f t="shared" si="0"/>
        <v>-</v>
      </c>
      <c r="F24" s="93">
        <f t="shared" si="1"/>
        <v>1</v>
      </c>
      <c r="G24" s="83"/>
    </row>
    <row r="25" spans="1:7" ht="33" customHeight="1">
      <c r="A25" s="29" t="s">
        <v>14</v>
      </c>
      <c r="B25" s="76" t="s">
        <v>195</v>
      </c>
      <c r="C25" s="24">
        <f>SUM(C26:C28)</f>
        <v>193042</v>
      </c>
      <c r="D25" s="24">
        <f>SUM(D26:D28)</f>
        <v>193042</v>
      </c>
      <c r="E25" s="92" t="str">
        <f t="shared" si="0"/>
        <v>-</v>
      </c>
      <c r="F25" s="93">
        <f t="shared" si="1"/>
        <v>1</v>
      </c>
      <c r="G25" s="83"/>
    </row>
    <row r="26" spans="1:7" ht="31.5">
      <c r="A26" s="27" t="s">
        <v>142</v>
      </c>
      <c r="B26" s="33" t="s">
        <v>168</v>
      </c>
      <c r="C26" s="78">
        <v>192272</v>
      </c>
      <c r="D26" s="24">
        <f t="shared" si="2"/>
        <v>192272</v>
      </c>
      <c r="E26" s="92" t="str">
        <f t="shared" si="0"/>
        <v>-</v>
      </c>
      <c r="F26" s="93">
        <f t="shared" si="1"/>
        <v>1</v>
      </c>
      <c r="G26" s="83"/>
    </row>
    <row r="27" spans="1:7" ht="31.5" customHeight="1">
      <c r="A27" s="27" t="s">
        <v>167</v>
      </c>
      <c r="B27" s="33" t="s">
        <v>170</v>
      </c>
      <c r="C27" s="78">
        <v>650</v>
      </c>
      <c r="D27" s="24">
        <f t="shared" si="2"/>
        <v>650</v>
      </c>
      <c r="E27" s="92" t="str">
        <f t="shared" si="0"/>
        <v>-</v>
      </c>
      <c r="F27" s="93">
        <f t="shared" si="1"/>
        <v>1</v>
      </c>
      <c r="G27" s="83"/>
    </row>
    <row r="28" spans="1:7" ht="31.5" customHeight="1">
      <c r="A28" s="27" t="s">
        <v>171</v>
      </c>
      <c r="B28" s="33" t="s">
        <v>169</v>
      </c>
      <c r="C28" s="78">
        <v>120</v>
      </c>
      <c r="D28" s="24">
        <f t="shared" si="2"/>
        <v>120</v>
      </c>
      <c r="E28" s="92" t="str">
        <f t="shared" si="0"/>
        <v>-</v>
      </c>
      <c r="F28" s="93">
        <f t="shared" si="1"/>
        <v>1</v>
      </c>
      <c r="G28" s="83"/>
    </row>
    <row r="29" spans="1:7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  <c r="G29" s="83"/>
    </row>
    <row r="30" spans="1:7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  <c r="G30" s="83"/>
    </row>
    <row r="31" spans="1:7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  <c r="G31" s="83"/>
    </row>
    <row r="32" spans="1:7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  <c r="G32" s="83"/>
    </row>
    <row r="33" spans="1:7" ht="33" customHeight="1">
      <c r="A33" s="30" t="s">
        <v>120</v>
      </c>
      <c r="B33" s="36" t="s">
        <v>183</v>
      </c>
      <c r="C33" s="78">
        <v>4584</v>
      </c>
      <c r="D33" s="24">
        <f t="shared" si="2"/>
        <v>4584</v>
      </c>
      <c r="E33" s="92" t="str">
        <f t="shared" si="0"/>
        <v>-</v>
      </c>
      <c r="F33" s="93">
        <f t="shared" si="1"/>
        <v>1</v>
      </c>
      <c r="G33" s="83"/>
    </row>
    <row r="34" spans="1:7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  <c r="G34" s="83"/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51978</v>
      </c>
      <c r="D36" s="89">
        <f>C36</f>
        <v>51978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258400</v>
      </c>
      <c r="D37" s="81">
        <f>D12+D14+D25+D31</f>
        <v>258400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17445</v>
      </c>
      <c r="D38" s="23">
        <f>D39+D40+D41+D49+D51+D57+D58+D56</f>
        <v>17445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928</v>
      </c>
      <c r="D39" s="82">
        <f>C39</f>
        <v>928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2122</v>
      </c>
      <c r="D40" s="82">
        <f>C40</f>
        <v>2122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164</v>
      </c>
      <c r="D41" s="82">
        <f>D42+D44+D45+D46+D47+D48</f>
        <v>164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0</v>
      </c>
      <c r="D42" s="82">
        <f>C42</f>
        <v>0</v>
      </c>
      <c r="E42" s="92" t="str">
        <f t="shared" si="0"/>
        <v>-</v>
      </c>
      <c r="F42" s="93" t="str">
        <f t="shared" si="1"/>
        <v>-</v>
      </c>
    </row>
    <row r="43" spans="1:6" ht="28.5" customHeight="1">
      <c r="A43" s="41" t="s">
        <v>40</v>
      </c>
      <c r="B43" s="43" t="s">
        <v>33</v>
      </c>
      <c r="C43" s="78">
        <v>0</v>
      </c>
      <c r="D43" s="82">
        <f aca="true" t="shared" si="3" ref="D43:D55">C43</f>
        <v>0</v>
      </c>
      <c r="E43" s="92" t="str">
        <f t="shared" si="0"/>
        <v>-</v>
      </c>
      <c r="F43" s="93" t="str">
        <f t="shared" si="1"/>
        <v>-</v>
      </c>
    </row>
    <row r="44" spans="1:6" ht="28.5" customHeight="1">
      <c r="A44" s="41" t="s">
        <v>41</v>
      </c>
      <c r="B44" s="42" t="s">
        <v>34</v>
      </c>
      <c r="C44" s="78">
        <v>8</v>
      </c>
      <c r="D44" s="82">
        <f t="shared" si="3"/>
        <v>8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150</v>
      </c>
      <c r="D47" s="82">
        <f t="shared" si="3"/>
        <v>150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6</v>
      </c>
      <c r="D48" s="82">
        <f>C48</f>
        <v>6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8437</v>
      </c>
      <c r="D49" s="82">
        <f>C49</f>
        <v>8437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20</v>
      </c>
      <c r="D50" s="82">
        <f>C50</f>
        <v>20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1893</v>
      </c>
      <c r="D51" s="75">
        <f>D52+D53+D54+D55</f>
        <v>1893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1450</v>
      </c>
      <c r="D52" s="82">
        <f t="shared" si="3"/>
        <v>1450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207</v>
      </c>
      <c r="D53" s="82">
        <f t="shared" si="3"/>
        <v>207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236</v>
      </c>
      <c r="D55" s="82">
        <f t="shared" si="3"/>
        <v>236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3660</v>
      </c>
      <c r="D57" s="82">
        <f>C57</f>
        <v>3660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241</v>
      </c>
      <c r="D58" s="82">
        <f>C58</f>
        <v>241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5250</v>
      </c>
      <c r="D59" s="26">
        <f>D60+D61+D62+D63</f>
        <v>1263</v>
      </c>
      <c r="E59" s="12">
        <f t="shared" si="0"/>
        <v>-3987</v>
      </c>
      <c r="F59" s="97">
        <f t="shared" si="1"/>
        <v>0.2406</v>
      </c>
    </row>
    <row r="60" spans="1:6" ht="42" customHeight="1">
      <c r="A60" s="30" t="s">
        <v>101</v>
      </c>
      <c r="B60" s="39" t="s">
        <v>123</v>
      </c>
      <c r="C60" s="78">
        <v>10</v>
      </c>
      <c r="D60" s="82">
        <f>C60-10</f>
        <v>0</v>
      </c>
      <c r="E60" s="75">
        <f t="shared" si="0"/>
        <v>-10</v>
      </c>
      <c r="F60" s="93">
        <f t="shared" si="1"/>
        <v>0</v>
      </c>
    </row>
    <row r="61" spans="1:6" ht="31.5" customHeight="1">
      <c r="A61" s="30" t="s">
        <v>30</v>
      </c>
      <c r="B61" s="39" t="s">
        <v>55</v>
      </c>
      <c r="C61" s="78">
        <v>4890</v>
      </c>
      <c r="D61" s="82">
        <f>C61-3774</f>
        <v>1116</v>
      </c>
      <c r="E61" s="75">
        <f t="shared" si="0"/>
        <v>-3774</v>
      </c>
      <c r="F61" s="93">
        <f t="shared" si="1"/>
        <v>0.2282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350</v>
      </c>
      <c r="D63" s="82">
        <f>C63-203</f>
        <v>147</v>
      </c>
      <c r="E63" s="75">
        <f t="shared" si="0"/>
        <v>-203</v>
      </c>
      <c r="F63" s="93">
        <f t="shared" si="1"/>
        <v>0.42</v>
      </c>
    </row>
    <row r="64" spans="1:6" ht="32.25" customHeight="1">
      <c r="A64" s="32" t="s">
        <v>109</v>
      </c>
      <c r="B64" s="44" t="s">
        <v>128</v>
      </c>
      <c r="C64" s="26">
        <v>1238</v>
      </c>
      <c r="D64" s="26">
        <f>C64-1065</f>
        <v>173</v>
      </c>
      <c r="E64" s="12">
        <f t="shared" si="0"/>
        <v>-1065</v>
      </c>
      <c r="F64" s="97">
        <f t="shared" si="1"/>
        <v>0.1397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69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3380335</v>
      </c>
      <c r="D7" s="15">
        <f>D8+D9+D10+D15+D16+D17+D18+D19+D20+D21+D22+D23+D24+D25+D29+D30+D32+D33</f>
        <v>3383854</v>
      </c>
      <c r="E7" s="12">
        <f>IF(C7=D7,"-",D7-C7)</f>
        <v>3519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417844</v>
      </c>
      <c r="D8" s="24">
        <f>C8+1519</f>
        <v>419363</v>
      </c>
      <c r="E8" s="92">
        <f aca="true" t="shared" si="0" ref="E8:E64">IF(C8=D8,"-",D8-C8)</f>
        <v>1519</v>
      </c>
      <c r="F8" s="93">
        <f aca="true" t="shared" si="1" ref="F8:F64">IF(C8=0,"-",D8/C8)</f>
        <v>1.0036</v>
      </c>
    </row>
    <row r="9" spans="1:6" ht="33" customHeight="1">
      <c r="A9" s="28" t="s">
        <v>2</v>
      </c>
      <c r="B9" s="34" t="s">
        <v>133</v>
      </c>
      <c r="C9" s="78">
        <v>288991</v>
      </c>
      <c r="D9" s="24">
        <f aca="true" t="shared" si="2" ref="D9:D33">C9</f>
        <v>288991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1619868</v>
      </c>
      <c r="D10" s="24">
        <f t="shared" si="2"/>
        <v>1619868</v>
      </c>
      <c r="E10" s="92" t="str">
        <f t="shared" si="0"/>
        <v>-</v>
      </c>
      <c r="F10" s="93">
        <f t="shared" si="1"/>
        <v>1</v>
      </c>
    </row>
    <row r="11" spans="1:6" ht="31.5" customHeight="1">
      <c r="A11" s="27" t="s">
        <v>56</v>
      </c>
      <c r="B11" s="33" t="s">
        <v>159</v>
      </c>
      <c r="C11" s="78">
        <v>146665</v>
      </c>
      <c r="D11" s="24">
        <f t="shared" si="2"/>
        <v>146665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128505</v>
      </c>
      <c r="D12" s="24">
        <f t="shared" si="2"/>
        <v>128505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68893</v>
      </c>
      <c r="D13" s="24">
        <f t="shared" si="2"/>
        <v>68893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25977</v>
      </c>
      <c r="D14" s="24">
        <f t="shared" si="2"/>
        <v>25977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110869</v>
      </c>
      <c r="D15" s="24">
        <f t="shared" si="2"/>
        <v>110869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138560</v>
      </c>
      <c r="D16" s="24">
        <f t="shared" si="2"/>
        <v>138560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87845</v>
      </c>
      <c r="D17" s="24">
        <f t="shared" si="2"/>
        <v>87845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21150</v>
      </c>
      <c r="D18" s="24">
        <f>C18+2000</f>
        <v>23150</v>
      </c>
      <c r="E18" s="92">
        <f t="shared" si="0"/>
        <v>2000</v>
      </c>
      <c r="F18" s="93">
        <f t="shared" si="1"/>
        <v>1.0946</v>
      </c>
    </row>
    <row r="19" spans="1:6" ht="33" customHeight="1">
      <c r="A19" s="28" t="s">
        <v>8</v>
      </c>
      <c r="B19" s="34" t="s">
        <v>135</v>
      </c>
      <c r="C19" s="78">
        <v>108248</v>
      </c>
      <c r="D19" s="24">
        <f t="shared" si="2"/>
        <v>108248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31970</v>
      </c>
      <c r="D20" s="24">
        <f t="shared" si="2"/>
        <v>31970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3166</v>
      </c>
      <c r="D21" s="24">
        <f t="shared" si="2"/>
        <v>3166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7443</v>
      </c>
      <c r="D22" s="24">
        <f t="shared" si="2"/>
        <v>7443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84799</v>
      </c>
      <c r="D23" s="24">
        <f t="shared" si="2"/>
        <v>84799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43500</v>
      </c>
      <c r="D24" s="24">
        <f t="shared" si="2"/>
        <v>43500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380000</v>
      </c>
      <c r="D25" s="78">
        <f>SUM(D26:D28)</f>
        <v>380000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367000</v>
      </c>
      <c r="D26" s="24">
        <f t="shared" si="2"/>
        <v>367000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11000</v>
      </c>
      <c r="D27" s="24">
        <f t="shared" si="2"/>
        <v>11000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2000</v>
      </c>
      <c r="D28" s="24">
        <f t="shared" si="2"/>
        <v>2000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36082</v>
      </c>
      <c r="D33" s="24">
        <f t="shared" si="2"/>
        <v>36082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>C34</f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106378</v>
      </c>
      <c r="D36" s="89">
        <f>C36</f>
        <v>106378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534482</v>
      </c>
      <c r="D37" s="81">
        <f>D12+D14+D25+D31</f>
        <v>534482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25946</v>
      </c>
      <c r="D38" s="23">
        <f>D39+D40+D41+D49+D51+D57+D58+D56</f>
        <v>25946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1252</v>
      </c>
      <c r="D39" s="82">
        <f>C39</f>
        <v>1252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3528</v>
      </c>
      <c r="D40" s="82">
        <f>C40</f>
        <v>3528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132</v>
      </c>
      <c r="D41" s="82">
        <f>D42+D44+D45+D46+D47+D48</f>
        <v>132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26</v>
      </c>
      <c r="D42" s="82">
        <f>C42</f>
        <v>26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26</v>
      </c>
      <c r="D43" s="82">
        <f aca="true" t="shared" si="3" ref="D43:D55">C43</f>
        <v>26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12</v>
      </c>
      <c r="D44" s="82">
        <f>C44</f>
        <v>12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61</v>
      </c>
      <c r="D47" s="82">
        <f t="shared" si="3"/>
        <v>61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33</v>
      </c>
      <c r="D48" s="82">
        <f>C48</f>
        <v>33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13411</v>
      </c>
      <c r="D49" s="82">
        <f>C49</f>
        <v>13411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10</v>
      </c>
      <c r="D50" s="82">
        <f>C50</f>
        <v>10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2975</v>
      </c>
      <c r="D51" s="75">
        <f>D52+D53+D54+D55</f>
        <v>2975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2305</v>
      </c>
      <c r="D52" s="82">
        <f t="shared" si="3"/>
        <v>2305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328</v>
      </c>
      <c r="D53" s="82">
        <f t="shared" si="3"/>
        <v>328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342</v>
      </c>
      <c r="D55" s="82">
        <f t="shared" si="3"/>
        <v>342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4400</v>
      </c>
      <c r="D57" s="82">
        <f>C57</f>
        <v>4400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248</v>
      </c>
      <c r="D58" s="82">
        <f>C58</f>
        <v>248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16454</v>
      </c>
      <c r="D59" s="26">
        <f>D60+D61+D62+D63</f>
        <v>8270</v>
      </c>
      <c r="E59" s="12">
        <f t="shared" si="0"/>
        <v>-8184</v>
      </c>
      <c r="F59" s="97">
        <f t="shared" si="1"/>
        <v>0.5026</v>
      </c>
    </row>
    <row r="60" spans="1:6" ht="42" customHeight="1">
      <c r="A60" s="30" t="s">
        <v>101</v>
      </c>
      <c r="B60" s="39" t="s">
        <v>123</v>
      </c>
      <c r="C60" s="78">
        <v>10</v>
      </c>
      <c r="D60" s="82">
        <f>C60-10</f>
        <v>0</v>
      </c>
      <c r="E60" s="75">
        <f t="shared" si="0"/>
        <v>-10</v>
      </c>
      <c r="F60" s="93">
        <f t="shared" si="1"/>
        <v>0</v>
      </c>
    </row>
    <row r="61" spans="1:6" ht="31.5" customHeight="1">
      <c r="A61" s="30" t="s">
        <v>30</v>
      </c>
      <c r="B61" s="39" t="s">
        <v>55</v>
      </c>
      <c r="C61" s="78">
        <v>15774</v>
      </c>
      <c r="D61" s="82">
        <f>C61-8174</f>
        <v>7600</v>
      </c>
      <c r="E61" s="75">
        <f t="shared" si="0"/>
        <v>-8174</v>
      </c>
      <c r="F61" s="93">
        <f t="shared" si="1"/>
        <v>0.4818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670</v>
      </c>
      <c r="D63" s="82">
        <f>C63</f>
        <v>670</v>
      </c>
      <c r="E63" s="75" t="str">
        <f t="shared" si="0"/>
        <v>-</v>
      </c>
      <c r="F63" s="93">
        <f t="shared" si="1"/>
        <v>1</v>
      </c>
    </row>
    <row r="64" spans="1:6" ht="32.25" customHeight="1">
      <c r="A64" s="32" t="s">
        <v>109</v>
      </c>
      <c r="B64" s="44" t="s">
        <v>128</v>
      </c>
      <c r="C64" s="26">
        <v>3778</v>
      </c>
      <c r="D64" s="26">
        <f>C64-3754</f>
        <v>24</v>
      </c>
      <c r="E64" s="12">
        <f t="shared" si="0"/>
        <v>-3754</v>
      </c>
      <c r="F64" s="97">
        <f t="shared" si="1"/>
        <v>0.0064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70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1947051</v>
      </c>
      <c r="D7" s="15">
        <f>D8+D9+D10+D15+D16+D17+D18+D19+D20+D21+D22+D23+D24+D25+D29+D30+D32+D33</f>
        <v>1949083</v>
      </c>
      <c r="E7" s="12">
        <f>IF(C7=D7,"-",D7-C7)</f>
        <v>2032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230700</v>
      </c>
      <c r="D8" s="24">
        <f>C8</f>
        <v>230700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193070</v>
      </c>
      <c r="D9" s="24">
        <f aca="true" t="shared" si="2" ref="D9:D33">C9</f>
        <v>193070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955290</v>
      </c>
      <c r="D10" s="24">
        <f>C10+1650</f>
        <v>956940</v>
      </c>
      <c r="E10" s="92">
        <f t="shared" si="0"/>
        <v>1650</v>
      </c>
      <c r="F10" s="93">
        <f t="shared" si="1"/>
        <v>1.0017</v>
      </c>
    </row>
    <row r="11" spans="1:6" ht="31.5" customHeight="1">
      <c r="A11" s="27" t="s">
        <v>56</v>
      </c>
      <c r="B11" s="33" t="s">
        <v>159</v>
      </c>
      <c r="C11" s="78">
        <v>77312</v>
      </c>
      <c r="D11" s="24">
        <f t="shared" si="2"/>
        <v>77312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72536</v>
      </c>
      <c r="D12" s="24">
        <f t="shared" si="2"/>
        <v>72536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44521</v>
      </c>
      <c r="D13" s="24">
        <f t="shared" si="2"/>
        <v>44521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19076</v>
      </c>
      <c r="D14" s="24">
        <f t="shared" si="2"/>
        <v>19076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82077</v>
      </c>
      <c r="D15" s="24">
        <f t="shared" si="2"/>
        <v>82077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57129</v>
      </c>
      <c r="D16" s="24">
        <f t="shared" si="2"/>
        <v>57129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26633</v>
      </c>
      <c r="D17" s="24">
        <f t="shared" si="2"/>
        <v>26633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10898</v>
      </c>
      <c r="D18" s="24">
        <f>C18+382</f>
        <v>11280</v>
      </c>
      <c r="E18" s="92">
        <f t="shared" si="0"/>
        <v>382</v>
      </c>
      <c r="F18" s="93">
        <f t="shared" si="1"/>
        <v>1.0351</v>
      </c>
    </row>
    <row r="19" spans="1:6" ht="33" customHeight="1">
      <c r="A19" s="28" t="s">
        <v>8</v>
      </c>
      <c r="B19" s="34" t="s">
        <v>135</v>
      </c>
      <c r="C19" s="78">
        <v>64630</v>
      </c>
      <c r="D19" s="24">
        <f t="shared" si="2"/>
        <v>64630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18401</v>
      </c>
      <c r="D20" s="24">
        <f t="shared" si="2"/>
        <v>18401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1400</v>
      </c>
      <c r="D21" s="24">
        <f t="shared" si="2"/>
        <v>1400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5519</v>
      </c>
      <c r="D22" s="24">
        <f t="shared" si="2"/>
        <v>5519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42794</v>
      </c>
      <c r="D23" s="24">
        <f t="shared" si="2"/>
        <v>42794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24800</v>
      </c>
      <c r="D24" s="24">
        <f t="shared" si="2"/>
        <v>24800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228503</v>
      </c>
      <c r="D25" s="78">
        <f>SUM(D26:D28)</f>
        <v>228503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225303</v>
      </c>
      <c r="D26" s="24">
        <f t="shared" si="2"/>
        <v>225303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2600</v>
      </c>
      <c r="D27" s="24">
        <f t="shared" si="2"/>
        <v>2600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600</v>
      </c>
      <c r="D28" s="24">
        <f t="shared" si="2"/>
        <v>600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5207</v>
      </c>
      <c r="D33" s="24">
        <f t="shared" si="2"/>
        <v>5207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>C34</f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69057</v>
      </c>
      <c r="D36" s="89">
        <f>C36</f>
        <v>69057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320115</v>
      </c>
      <c r="D37" s="81">
        <f>D12+D14+D25+D31</f>
        <v>320115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14740</v>
      </c>
      <c r="D38" s="23">
        <f>D39+D40+D41+D49+D51+D57+D58+D56</f>
        <v>14740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667</v>
      </c>
      <c r="D39" s="82">
        <f>C39</f>
        <v>667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1022</v>
      </c>
      <c r="D40" s="82">
        <f>C40</f>
        <v>1022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229</v>
      </c>
      <c r="D41" s="82">
        <f>D42+D44+D45+D46+D47+D48</f>
        <v>229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18</v>
      </c>
      <c r="D42" s="82">
        <f>C42</f>
        <v>18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18</v>
      </c>
      <c r="D43" s="82">
        <f aca="true" t="shared" si="3" ref="D43:D55">C43</f>
        <v>18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50</v>
      </c>
      <c r="D44" s="82">
        <f t="shared" si="3"/>
        <v>50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155</v>
      </c>
      <c r="D47" s="82">
        <f t="shared" si="3"/>
        <v>155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6</v>
      </c>
      <c r="D48" s="82">
        <f>C48</f>
        <v>6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9427</v>
      </c>
      <c r="D49" s="82">
        <f>C49</f>
        <v>9427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21</v>
      </c>
      <c r="D50" s="82">
        <f>C50</f>
        <v>21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2096</v>
      </c>
      <c r="D51" s="75">
        <f>D52+D53+D54+D55</f>
        <v>2096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1580</v>
      </c>
      <c r="D52" s="82">
        <f t="shared" si="3"/>
        <v>1580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231</v>
      </c>
      <c r="D53" s="82">
        <f t="shared" si="3"/>
        <v>231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285</v>
      </c>
      <c r="D55" s="82">
        <f t="shared" si="3"/>
        <v>285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1044</v>
      </c>
      <c r="D57" s="82">
        <f>C57</f>
        <v>1044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255</v>
      </c>
      <c r="D58" s="82">
        <f>C58</f>
        <v>255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1683</v>
      </c>
      <c r="D59" s="26">
        <f>D60+D61+D62+D63</f>
        <v>321</v>
      </c>
      <c r="E59" s="12">
        <f t="shared" si="0"/>
        <v>-1362</v>
      </c>
      <c r="F59" s="97">
        <f t="shared" si="1"/>
        <v>0.1907</v>
      </c>
    </row>
    <row r="60" spans="1:6" ht="42" customHeight="1">
      <c r="A60" s="30" t="s">
        <v>101</v>
      </c>
      <c r="B60" s="39" t="s">
        <v>123</v>
      </c>
      <c r="C60" s="78">
        <v>3</v>
      </c>
      <c r="D60" s="82">
        <f>C60-2</f>
        <v>1</v>
      </c>
      <c r="E60" s="75">
        <f t="shared" si="0"/>
        <v>-2</v>
      </c>
      <c r="F60" s="93">
        <f t="shared" si="1"/>
        <v>0.3333</v>
      </c>
    </row>
    <row r="61" spans="1:6" ht="31.5" customHeight="1">
      <c r="A61" s="30" t="s">
        <v>30</v>
      </c>
      <c r="B61" s="39" t="s">
        <v>55</v>
      </c>
      <c r="C61" s="78">
        <v>1440</v>
      </c>
      <c r="D61" s="82">
        <f>C61-1290</f>
        <v>150</v>
      </c>
      <c r="E61" s="75">
        <f t="shared" si="0"/>
        <v>-1290</v>
      </c>
      <c r="F61" s="93">
        <f t="shared" si="1"/>
        <v>0.1042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240</v>
      </c>
      <c r="D63" s="82">
        <f>C63-70</f>
        <v>170</v>
      </c>
      <c r="E63" s="75">
        <f t="shared" si="0"/>
        <v>-70</v>
      </c>
      <c r="F63" s="93">
        <f t="shared" si="1"/>
        <v>0.7083</v>
      </c>
    </row>
    <row r="64" spans="1:6" ht="32.25" customHeight="1">
      <c r="A64" s="32" t="s">
        <v>109</v>
      </c>
      <c r="B64" s="44" t="s">
        <v>128</v>
      </c>
      <c r="C64" s="26">
        <v>372</v>
      </c>
      <c r="D64" s="26">
        <f>C64-307</f>
        <v>65</v>
      </c>
      <c r="E64" s="12">
        <f t="shared" si="0"/>
        <v>-307</v>
      </c>
      <c r="F64" s="97">
        <f t="shared" si="1"/>
        <v>0.1747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71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3684008</v>
      </c>
      <c r="D7" s="15">
        <f>D8+D9+D10+D15+D16+D17+D18+D19+D20+D21+D22+D23+D24+D25+D29+D30+D32+D33</f>
        <v>3687794</v>
      </c>
      <c r="E7" s="12">
        <f>IF(C7=D7,"-",D7-C7)</f>
        <v>3786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455700</v>
      </c>
      <c r="D8" s="24">
        <f>C8</f>
        <v>455700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344189</v>
      </c>
      <c r="D9" s="24">
        <f aca="true" t="shared" si="2" ref="D9:D34">C9</f>
        <v>344189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1739387</v>
      </c>
      <c r="D10" s="24">
        <f>C10+3786</f>
        <v>1743173</v>
      </c>
      <c r="E10" s="92">
        <f t="shared" si="0"/>
        <v>3786</v>
      </c>
      <c r="F10" s="93">
        <f t="shared" si="1"/>
        <v>1.0022</v>
      </c>
    </row>
    <row r="11" spans="1:6" ht="31.5" customHeight="1">
      <c r="A11" s="27" t="s">
        <v>56</v>
      </c>
      <c r="B11" s="33" t="s">
        <v>159</v>
      </c>
      <c r="C11" s="78">
        <v>130278</v>
      </c>
      <c r="D11" s="24">
        <f t="shared" si="2"/>
        <v>130278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118856</v>
      </c>
      <c r="D12" s="24">
        <f t="shared" si="2"/>
        <v>118856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75739</v>
      </c>
      <c r="D13" s="24">
        <f t="shared" si="2"/>
        <v>75739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36262</v>
      </c>
      <c r="D14" s="24">
        <f t="shared" si="2"/>
        <v>36262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139438</v>
      </c>
      <c r="D15" s="24">
        <f t="shared" si="2"/>
        <v>139438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113956</v>
      </c>
      <c r="D16" s="24">
        <f t="shared" si="2"/>
        <v>113956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44618</v>
      </c>
      <c r="D17" s="24">
        <f t="shared" si="2"/>
        <v>44618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22390</v>
      </c>
      <c r="D18" s="24">
        <f t="shared" si="2"/>
        <v>22390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104334</v>
      </c>
      <c r="D19" s="24">
        <f t="shared" si="2"/>
        <v>104334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26568</v>
      </c>
      <c r="D20" s="24">
        <f t="shared" si="2"/>
        <v>26568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1460</v>
      </c>
      <c r="D21" s="24">
        <f t="shared" si="2"/>
        <v>1460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9596</v>
      </c>
      <c r="D22" s="24">
        <f t="shared" si="2"/>
        <v>9596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112204</v>
      </c>
      <c r="D23" s="24">
        <f t="shared" si="2"/>
        <v>112204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50267</v>
      </c>
      <c r="D24" s="24">
        <f t="shared" si="2"/>
        <v>50267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514000</v>
      </c>
      <c r="D25" s="78">
        <f>SUM(D26:D28)</f>
        <v>514000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513300</v>
      </c>
      <c r="D26" s="24">
        <f t="shared" si="2"/>
        <v>513300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500</v>
      </c>
      <c r="D27" s="24">
        <f t="shared" si="2"/>
        <v>500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200</v>
      </c>
      <c r="D28" s="24">
        <f t="shared" si="2"/>
        <v>200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5901</v>
      </c>
      <c r="D33" s="24">
        <f t="shared" si="2"/>
        <v>5901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103660</v>
      </c>
      <c r="D36" s="89">
        <f>C36</f>
        <v>103660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669118</v>
      </c>
      <c r="D37" s="81">
        <f>D12+D14+D25+D31</f>
        <v>669118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33145</v>
      </c>
      <c r="D38" s="23">
        <f>D39+D40+D41+D49+D51+D57+D58+D56</f>
        <v>33145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1795</v>
      </c>
      <c r="D39" s="82">
        <f>C39</f>
        <v>1795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3186</v>
      </c>
      <c r="D40" s="82">
        <f>C40</f>
        <v>3186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287</v>
      </c>
      <c r="D41" s="82">
        <f>D42+D44+D45+D46+D47+D48</f>
        <v>287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48</v>
      </c>
      <c r="D42" s="82">
        <f>C42</f>
        <v>48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48</v>
      </c>
      <c r="D43" s="82">
        <f aca="true" t="shared" si="3" ref="D43:D55">C43</f>
        <v>48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0</v>
      </c>
      <c r="D44" s="82">
        <f t="shared" si="3"/>
        <v>0</v>
      </c>
      <c r="E44" s="92" t="str">
        <f t="shared" si="0"/>
        <v>-</v>
      </c>
      <c r="F44" s="93" t="str">
        <f t="shared" si="1"/>
        <v>-</v>
      </c>
    </row>
    <row r="45" spans="1:6" ht="28.5" customHeight="1">
      <c r="A45" s="41" t="s">
        <v>42</v>
      </c>
      <c r="B45" s="42" t="s">
        <v>35</v>
      </c>
      <c r="C45" s="78">
        <v>6</v>
      </c>
      <c r="D45" s="82">
        <f t="shared" si="3"/>
        <v>6</v>
      </c>
      <c r="E45" s="92" t="str">
        <f t="shared" si="0"/>
        <v>-</v>
      </c>
      <c r="F45" s="93">
        <f t="shared" si="1"/>
        <v>1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189</v>
      </c>
      <c r="D47" s="82">
        <f t="shared" si="3"/>
        <v>189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44</v>
      </c>
      <c r="D48" s="82">
        <f>C48</f>
        <v>44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18335</v>
      </c>
      <c r="D49" s="82">
        <f>C49</f>
        <v>18335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100</v>
      </c>
      <c r="D50" s="82">
        <f>C50</f>
        <v>100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4073</v>
      </c>
      <c r="D51" s="75">
        <f>D52+D53+D54+D55</f>
        <v>4073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3152</v>
      </c>
      <c r="D52" s="82">
        <f t="shared" si="3"/>
        <v>3152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449</v>
      </c>
      <c r="D53" s="82">
        <f t="shared" si="3"/>
        <v>449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472</v>
      </c>
      <c r="D55" s="82">
        <f t="shared" si="3"/>
        <v>472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5208</v>
      </c>
      <c r="D57" s="82">
        <f>C57</f>
        <v>5208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261</v>
      </c>
      <c r="D58" s="82">
        <f>C58</f>
        <v>261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13834</v>
      </c>
      <c r="D59" s="26">
        <f>D60+D61+D62+D63</f>
        <v>4300</v>
      </c>
      <c r="E59" s="12">
        <f t="shared" si="0"/>
        <v>-9534</v>
      </c>
      <c r="F59" s="97">
        <f t="shared" si="1"/>
        <v>0.3108</v>
      </c>
    </row>
    <row r="60" spans="1:6" ht="42" customHeight="1">
      <c r="A60" s="30" t="s">
        <v>101</v>
      </c>
      <c r="B60" s="39" t="s">
        <v>123</v>
      </c>
      <c r="C60" s="78">
        <v>69</v>
      </c>
      <c r="D60" s="82">
        <f>C60-34</f>
        <v>35</v>
      </c>
      <c r="E60" s="75">
        <f t="shared" si="0"/>
        <v>-34</v>
      </c>
      <c r="F60" s="93">
        <f t="shared" si="1"/>
        <v>0.5072</v>
      </c>
    </row>
    <row r="61" spans="1:6" ht="31.5" customHeight="1">
      <c r="A61" s="30" t="s">
        <v>30</v>
      </c>
      <c r="B61" s="39" t="s">
        <v>55</v>
      </c>
      <c r="C61" s="78">
        <v>9565</v>
      </c>
      <c r="D61" s="82">
        <f>C61-9500</f>
        <v>65</v>
      </c>
      <c r="E61" s="75">
        <f t="shared" si="0"/>
        <v>-9500</v>
      </c>
      <c r="F61" s="93">
        <f t="shared" si="1"/>
        <v>0.0068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4200</v>
      </c>
      <c r="D63" s="82">
        <f>C63</f>
        <v>4200</v>
      </c>
      <c r="E63" s="75" t="str">
        <f t="shared" si="0"/>
        <v>-</v>
      </c>
      <c r="F63" s="93">
        <f t="shared" si="1"/>
        <v>1</v>
      </c>
    </row>
    <row r="64" spans="1:6" ht="32.25" customHeight="1">
      <c r="A64" s="32" t="s">
        <v>109</v>
      </c>
      <c r="B64" s="44" t="s">
        <v>128</v>
      </c>
      <c r="C64" s="26">
        <v>5562</v>
      </c>
      <c r="D64" s="26">
        <f>C64-3562</f>
        <v>2000</v>
      </c>
      <c r="E64" s="12">
        <f t="shared" si="0"/>
        <v>-3562</v>
      </c>
      <c r="F64" s="97">
        <f t="shared" si="1"/>
        <v>0.3596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72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7713025</v>
      </c>
      <c r="D7" s="15">
        <f>D8+D9+D10+D15+D16+D17+D18+D19+D20+D21+D22+D23+D24+D25+D29+D30+D32+D33</f>
        <v>7721183</v>
      </c>
      <c r="E7" s="12">
        <f>IF(C7=D7,"-",D7-C7)</f>
        <v>8158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913414</v>
      </c>
      <c r="D8" s="24">
        <f>C8</f>
        <v>913414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752508</v>
      </c>
      <c r="D9" s="24">
        <f aca="true" t="shared" si="2" ref="D9:D34">C9</f>
        <v>752508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3619905</v>
      </c>
      <c r="D10" s="24">
        <f>C10+6308</f>
        <v>3626213</v>
      </c>
      <c r="E10" s="92">
        <f t="shared" si="0"/>
        <v>6308</v>
      </c>
      <c r="F10" s="93">
        <f t="shared" si="1"/>
        <v>1.0017</v>
      </c>
    </row>
    <row r="11" spans="1:6" ht="31.5" customHeight="1">
      <c r="A11" s="27" t="s">
        <v>56</v>
      </c>
      <c r="B11" s="33" t="s">
        <v>159</v>
      </c>
      <c r="C11" s="78">
        <v>326031</v>
      </c>
      <c r="D11" s="24">
        <f t="shared" si="2"/>
        <v>326031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298338</v>
      </c>
      <c r="D12" s="24">
        <f t="shared" si="2"/>
        <v>298338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162923</v>
      </c>
      <c r="D13" s="24">
        <f t="shared" si="2"/>
        <v>162923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63977</v>
      </c>
      <c r="D14" s="24">
        <f t="shared" si="2"/>
        <v>63977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285885</v>
      </c>
      <c r="D15" s="24">
        <f t="shared" si="2"/>
        <v>285885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240819</v>
      </c>
      <c r="D16" s="24">
        <f t="shared" si="2"/>
        <v>240819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191144</v>
      </c>
      <c r="D17" s="24">
        <f t="shared" si="2"/>
        <v>191144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46813</v>
      </c>
      <c r="D18" s="24">
        <f>C18+1850</f>
        <v>48663</v>
      </c>
      <c r="E18" s="92">
        <f t="shared" si="0"/>
        <v>1850</v>
      </c>
      <c r="F18" s="93">
        <f t="shared" si="1"/>
        <v>1.0395</v>
      </c>
    </row>
    <row r="19" spans="1:6" ht="33" customHeight="1">
      <c r="A19" s="28" t="s">
        <v>8</v>
      </c>
      <c r="B19" s="34" t="s">
        <v>135</v>
      </c>
      <c r="C19" s="78">
        <v>205198</v>
      </c>
      <c r="D19" s="24">
        <f t="shared" si="2"/>
        <v>205198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70012</v>
      </c>
      <c r="D20" s="24">
        <f t="shared" si="2"/>
        <v>70012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4683</v>
      </c>
      <c r="D21" s="24">
        <f t="shared" si="2"/>
        <v>4683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28458</v>
      </c>
      <c r="D22" s="24">
        <f t="shared" si="2"/>
        <v>28458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211604</v>
      </c>
      <c r="D23" s="24">
        <f t="shared" si="2"/>
        <v>211604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111100</v>
      </c>
      <c r="D24" s="24">
        <f t="shared" si="2"/>
        <v>111100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978210</v>
      </c>
      <c r="D25" s="78">
        <f>SUM(D26:D28)</f>
        <v>978210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976402</v>
      </c>
      <c r="D26" s="24">
        <f t="shared" si="2"/>
        <v>976402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1558</v>
      </c>
      <c r="D27" s="24">
        <f t="shared" si="2"/>
        <v>1558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250</v>
      </c>
      <c r="D28" s="24">
        <f t="shared" si="2"/>
        <v>250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53272</v>
      </c>
      <c r="D33" s="24">
        <f t="shared" si="2"/>
        <v>53272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199375</v>
      </c>
      <c r="D36" s="89">
        <f>C36</f>
        <v>199375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1340525</v>
      </c>
      <c r="D37" s="81">
        <f>D12+D14+D25+D31</f>
        <v>1340525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61797</v>
      </c>
      <c r="D38" s="23">
        <f>D39+D40+D41+D49+D51+D57+D58+D56</f>
        <v>61797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3954</v>
      </c>
      <c r="D39" s="82">
        <f>C39</f>
        <v>3954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6444</v>
      </c>
      <c r="D40" s="82">
        <f aca="true" t="shared" si="3" ref="D40:D58">C40</f>
        <v>6444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719</v>
      </c>
      <c r="D41" s="82">
        <f>D42+D44+D45+D46+D47+D48</f>
        <v>719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114</v>
      </c>
      <c r="D42" s="82">
        <f t="shared" si="3"/>
        <v>114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114</v>
      </c>
      <c r="D43" s="82">
        <f t="shared" si="3"/>
        <v>114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8</v>
      </c>
      <c r="D44" s="82">
        <f t="shared" si="3"/>
        <v>8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8</v>
      </c>
      <c r="D45" s="82">
        <f t="shared" si="3"/>
        <v>8</v>
      </c>
      <c r="E45" s="92" t="str">
        <f t="shared" si="0"/>
        <v>-</v>
      </c>
      <c r="F45" s="93">
        <f t="shared" si="1"/>
        <v>1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572</v>
      </c>
      <c r="D47" s="82">
        <f t="shared" si="3"/>
        <v>572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17</v>
      </c>
      <c r="D48" s="82">
        <f t="shared" si="3"/>
        <v>17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36801</v>
      </c>
      <c r="D49" s="82">
        <f t="shared" si="3"/>
        <v>36801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250</v>
      </c>
      <c r="D50" s="82">
        <f t="shared" si="3"/>
        <v>250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8153</v>
      </c>
      <c r="D51" s="75">
        <f>D52+D53+D54+D55</f>
        <v>8153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6325</v>
      </c>
      <c r="D52" s="82">
        <f t="shared" si="3"/>
        <v>6325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902</v>
      </c>
      <c r="D53" s="82">
        <f t="shared" si="3"/>
        <v>902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926</v>
      </c>
      <c r="D55" s="82">
        <f t="shared" si="3"/>
        <v>926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 t="shared" si="3"/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5406</v>
      </c>
      <c r="D57" s="82">
        <f t="shared" si="3"/>
        <v>5406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320</v>
      </c>
      <c r="D58" s="82">
        <f t="shared" si="3"/>
        <v>320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5036</v>
      </c>
      <c r="D59" s="26">
        <f>D60+D61+D62+D63</f>
        <v>5036</v>
      </c>
      <c r="E59" s="12" t="str">
        <f t="shared" si="0"/>
        <v>-</v>
      </c>
      <c r="F59" s="97">
        <f t="shared" si="1"/>
        <v>1</v>
      </c>
    </row>
    <row r="60" spans="1:6" ht="42" customHeight="1">
      <c r="A60" s="30" t="s">
        <v>101</v>
      </c>
      <c r="B60" s="39" t="s">
        <v>123</v>
      </c>
      <c r="C60" s="78">
        <v>264</v>
      </c>
      <c r="D60" s="82">
        <f>C60</f>
        <v>264</v>
      </c>
      <c r="E60" s="75" t="str">
        <f t="shared" si="0"/>
        <v>-</v>
      </c>
      <c r="F60" s="93">
        <f t="shared" si="1"/>
        <v>1</v>
      </c>
    </row>
    <row r="61" spans="1:6" ht="31.5" customHeight="1">
      <c r="A61" s="30" t="s">
        <v>30</v>
      </c>
      <c r="B61" s="39" t="s">
        <v>55</v>
      </c>
      <c r="C61" s="78">
        <v>991</v>
      </c>
      <c r="D61" s="82">
        <f>C61</f>
        <v>991</v>
      </c>
      <c r="E61" s="75" t="str">
        <f t="shared" si="0"/>
        <v>-</v>
      </c>
      <c r="F61" s="93">
        <f t="shared" si="1"/>
        <v>1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3781</v>
      </c>
      <c r="D63" s="82">
        <f>C63</f>
        <v>3781</v>
      </c>
      <c r="E63" s="75" t="str">
        <f t="shared" si="0"/>
        <v>-</v>
      </c>
      <c r="F63" s="93">
        <f t="shared" si="1"/>
        <v>1</v>
      </c>
    </row>
    <row r="64" spans="1:6" ht="32.25" customHeight="1">
      <c r="A64" s="32" t="s">
        <v>109</v>
      </c>
      <c r="B64" s="44" t="s">
        <v>128</v>
      </c>
      <c r="C64" s="26">
        <v>2201</v>
      </c>
      <c r="D64" s="26">
        <f>C64</f>
        <v>2201</v>
      </c>
      <c r="E64" s="12" t="str">
        <f t="shared" si="0"/>
        <v>-</v>
      </c>
      <c r="F64" s="97">
        <f t="shared" si="1"/>
        <v>1</v>
      </c>
    </row>
    <row r="67" ht="12.75">
      <c r="E67" s="83"/>
    </row>
    <row r="73" ht="12.75">
      <c r="E73" s="83"/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C7" sqref="C7:C98"/>
      <selection pane="bottomLef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73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2163315</v>
      </c>
      <c r="D7" s="15">
        <f>D8+D9+D10+D15+D16+D17+D18+D19+D20+D21+D22+D23+D24+D25+D29+D30+D32+D33</f>
        <v>2165591</v>
      </c>
      <c r="E7" s="12">
        <f>IF(C7=D7,"-",D7-C7)</f>
        <v>2276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244792</v>
      </c>
      <c r="D8" s="24">
        <f>C8</f>
        <v>244792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166903</v>
      </c>
      <c r="D9" s="24">
        <f aca="true" t="shared" si="2" ref="D9:D34">C9</f>
        <v>166903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1102417</v>
      </c>
      <c r="D10" s="24">
        <f>C10+2276</f>
        <v>1104693</v>
      </c>
      <c r="E10" s="92">
        <f t="shared" si="0"/>
        <v>2276</v>
      </c>
      <c r="F10" s="93">
        <f t="shared" si="1"/>
        <v>1.0021</v>
      </c>
    </row>
    <row r="11" spans="1:6" ht="31.5" customHeight="1">
      <c r="A11" s="27" t="s">
        <v>56</v>
      </c>
      <c r="B11" s="33" t="s">
        <v>159</v>
      </c>
      <c r="C11" s="78">
        <v>85852</v>
      </c>
      <c r="D11" s="24">
        <f t="shared" si="2"/>
        <v>85852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75591</v>
      </c>
      <c r="D12" s="24">
        <f t="shared" si="2"/>
        <v>75591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53221</v>
      </c>
      <c r="D13" s="24">
        <f t="shared" si="2"/>
        <v>53221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21061</v>
      </c>
      <c r="D14" s="24">
        <f t="shared" si="2"/>
        <v>21061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68714</v>
      </c>
      <c r="D15" s="24">
        <f t="shared" si="2"/>
        <v>68714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70577</v>
      </c>
      <c r="D16" s="24">
        <f t="shared" si="2"/>
        <v>70577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46061</v>
      </c>
      <c r="D17" s="24">
        <f t="shared" si="2"/>
        <v>46061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15722</v>
      </c>
      <c r="D18" s="24">
        <f t="shared" si="2"/>
        <v>15722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63502</v>
      </c>
      <c r="D19" s="24">
        <f t="shared" si="2"/>
        <v>63502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25010</v>
      </c>
      <c r="D20" s="24">
        <f t="shared" si="2"/>
        <v>25010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1500</v>
      </c>
      <c r="D21" s="24">
        <f t="shared" si="2"/>
        <v>1500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5306</v>
      </c>
      <c r="D22" s="24">
        <f t="shared" si="2"/>
        <v>5306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56878</v>
      </c>
      <c r="D23" s="24">
        <f t="shared" si="2"/>
        <v>56878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29061</v>
      </c>
      <c r="D24" s="24">
        <f t="shared" si="2"/>
        <v>29061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265131</v>
      </c>
      <c r="D25" s="78">
        <f>SUM(D26:D28)</f>
        <v>265131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264659</v>
      </c>
      <c r="D26" s="24">
        <f t="shared" si="2"/>
        <v>264659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338</v>
      </c>
      <c r="D27" s="24">
        <f t="shared" si="2"/>
        <v>338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134</v>
      </c>
      <c r="D28" s="24">
        <f t="shared" si="2"/>
        <v>134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1741</v>
      </c>
      <c r="D33" s="24">
        <f t="shared" si="2"/>
        <v>1741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56434</v>
      </c>
      <c r="D36" s="89">
        <f>C36</f>
        <v>56434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361783</v>
      </c>
      <c r="D37" s="81">
        <f>D12+D14+D25+D31</f>
        <v>361783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18323</v>
      </c>
      <c r="D38" s="23">
        <f>D39+D40+D41+D49+D51+D57+D58+D56</f>
        <v>18323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904</v>
      </c>
      <c r="D39" s="82">
        <f>C39</f>
        <v>904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1991</v>
      </c>
      <c r="D40" s="82">
        <f>C40</f>
        <v>1991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57</v>
      </c>
      <c r="D41" s="82">
        <f>D42+D44+D45+D46+D47+D48</f>
        <v>57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7</v>
      </c>
      <c r="D42" s="82">
        <f aca="true" t="shared" si="3" ref="D42:D50">C42</f>
        <v>7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7</v>
      </c>
      <c r="D43" s="82">
        <f t="shared" si="3"/>
        <v>7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16</v>
      </c>
      <c r="D44" s="82">
        <f t="shared" si="3"/>
        <v>16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34</v>
      </c>
      <c r="D47" s="82">
        <f t="shared" si="3"/>
        <v>34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0</v>
      </c>
      <c r="D48" s="82">
        <f t="shared" si="3"/>
        <v>0</v>
      </c>
      <c r="E48" s="92" t="str">
        <f t="shared" si="0"/>
        <v>-</v>
      </c>
      <c r="F48" s="93" t="str">
        <f t="shared" si="1"/>
        <v>-</v>
      </c>
    </row>
    <row r="49" spans="1:6" ht="28.5" customHeight="1">
      <c r="A49" s="30" t="s">
        <v>22</v>
      </c>
      <c r="B49" s="39" t="s">
        <v>176</v>
      </c>
      <c r="C49" s="78">
        <v>10329</v>
      </c>
      <c r="D49" s="82">
        <f t="shared" si="3"/>
        <v>10329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40</v>
      </c>
      <c r="D50" s="82">
        <f t="shared" si="3"/>
        <v>40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2294</v>
      </c>
      <c r="D51" s="75">
        <f>D52+D53+D54+D55</f>
        <v>2294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1776</v>
      </c>
      <c r="D52" s="82">
        <f aca="true" t="shared" si="4" ref="D52:D58">C52</f>
        <v>1776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253</v>
      </c>
      <c r="D53" s="82">
        <f t="shared" si="4"/>
        <v>253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4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265</v>
      </c>
      <c r="D55" s="82">
        <f t="shared" si="4"/>
        <v>265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 t="shared" si="4"/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2580</v>
      </c>
      <c r="D57" s="82">
        <f t="shared" si="4"/>
        <v>2580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168</v>
      </c>
      <c r="D58" s="82">
        <f t="shared" si="4"/>
        <v>168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20500</v>
      </c>
      <c r="D59" s="26">
        <f>D60+D61+D62+D63</f>
        <v>9000</v>
      </c>
      <c r="E59" s="12">
        <f t="shared" si="0"/>
        <v>-11500</v>
      </c>
      <c r="F59" s="97">
        <f t="shared" si="1"/>
        <v>0.439</v>
      </c>
    </row>
    <row r="60" spans="1:6" ht="42" customHeight="1">
      <c r="A60" s="30" t="s">
        <v>101</v>
      </c>
      <c r="B60" s="39" t="s">
        <v>123</v>
      </c>
      <c r="C60" s="78">
        <v>0</v>
      </c>
      <c r="D60" s="82">
        <f>C60</f>
        <v>0</v>
      </c>
      <c r="E60" s="75" t="str">
        <f t="shared" si="0"/>
        <v>-</v>
      </c>
      <c r="F60" s="93" t="str">
        <f t="shared" si="1"/>
        <v>-</v>
      </c>
    </row>
    <row r="61" spans="1:6" ht="31.5" customHeight="1">
      <c r="A61" s="30" t="s">
        <v>30</v>
      </c>
      <c r="B61" s="39" t="s">
        <v>55</v>
      </c>
      <c r="C61" s="78">
        <v>19000</v>
      </c>
      <c r="D61" s="82">
        <f>C61-11000</f>
        <v>8000</v>
      </c>
      <c r="E61" s="75">
        <f t="shared" si="0"/>
        <v>-11000</v>
      </c>
      <c r="F61" s="93">
        <f t="shared" si="1"/>
        <v>0.4211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1500</v>
      </c>
      <c r="D63" s="82">
        <f>C63-500</f>
        <v>1000</v>
      </c>
      <c r="E63" s="75">
        <f t="shared" si="0"/>
        <v>-500</v>
      </c>
      <c r="F63" s="93">
        <f t="shared" si="1"/>
        <v>0.6667</v>
      </c>
    </row>
    <row r="64" spans="1:6" ht="32.25" customHeight="1">
      <c r="A64" s="32" t="s">
        <v>109</v>
      </c>
      <c r="B64" s="44" t="s">
        <v>128</v>
      </c>
      <c r="C64" s="26">
        <v>3885</v>
      </c>
      <c r="D64" s="26">
        <f>C64</f>
        <v>3885</v>
      </c>
      <c r="E64" s="12" t="str">
        <f t="shared" si="0"/>
        <v>-</v>
      </c>
      <c r="F64" s="97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74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2287251</v>
      </c>
      <c r="D7" s="15">
        <f>D8+D9+D10+D15+D16+D17+D18+D19+D20+D21+D22+D23+D24+D25+D29+D30+D32+D33</f>
        <v>2289616</v>
      </c>
      <c r="E7" s="12">
        <f>IF(C7=D7,"-",D7-C7)</f>
        <v>2365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281220</v>
      </c>
      <c r="D8" s="24">
        <f>C8</f>
        <v>281220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203053</v>
      </c>
      <c r="D9" s="24">
        <f aca="true" t="shared" si="2" ref="D9:D33">C9</f>
        <v>203053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1106404</v>
      </c>
      <c r="D10" s="24">
        <f>C10+2365</f>
        <v>1108769</v>
      </c>
      <c r="E10" s="92">
        <f t="shared" si="0"/>
        <v>2365</v>
      </c>
      <c r="F10" s="93">
        <f t="shared" si="1"/>
        <v>1.0021</v>
      </c>
    </row>
    <row r="11" spans="1:6" ht="31.5" customHeight="1">
      <c r="A11" s="27" t="s">
        <v>56</v>
      </c>
      <c r="B11" s="33" t="s">
        <v>159</v>
      </c>
      <c r="C11" s="78">
        <v>89149</v>
      </c>
      <c r="D11" s="24">
        <f t="shared" si="2"/>
        <v>89149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83209</v>
      </c>
      <c r="D12" s="24">
        <f t="shared" si="2"/>
        <v>83209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45367</v>
      </c>
      <c r="D13" s="24">
        <f t="shared" si="2"/>
        <v>45367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20754</v>
      </c>
      <c r="D14" s="24">
        <f t="shared" si="2"/>
        <v>20754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87781</v>
      </c>
      <c r="D15" s="24">
        <f t="shared" si="2"/>
        <v>87781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71568</v>
      </c>
      <c r="D16" s="24">
        <f t="shared" si="2"/>
        <v>71568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35057</v>
      </c>
      <c r="D17" s="24">
        <f t="shared" si="2"/>
        <v>35057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15349</v>
      </c>
      <c r="D18" s="24">
        <f t="shared" si="2"/>
        <v>15349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83648</v>
      </c>
      <c r="D19" s="24">
        <f t="shared" si="2"/>
        <v>83648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19676</v>
      </c>
      <c r="D20" s="24">
        <f t="shared" si="2"/>
        <v>19676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2900</v>
      </c>
      <c r="D21" s="24">
        <f t="shared" si="2"/>
        <v>2900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6536</v>
      </c>
      <c r="D22" s="24">
        <f t="shared" si="2"/>
        <v>6536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64393</v>
      </c>
      <c r="D23" s="24">
        <f t="shared" si="2"/>
        <v>64393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30500</v>
      </c>
      <c r="D24" s="24">
        <f t="shared" si="2"/>
        <v>30500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266059</v>
      </c>
      <c r="D25" s="78">
        <f>SUM(D26:D28)</f>
        <v>266059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265389</v>
      </c>
      <c r="D26" s="24">
        <f t="shared" si="2"/>
        <v>265389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520</v>
      </c>
      <c r="D27" s="24">
        <f t="shared" si="2"/>
        <v>520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150</v>
      </c>
      <c r="D28" s="24">
        <f t="shared" si="2"/>
        <v>150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13107</v>
      </c>
      <c r="D33" s="24">
        <f t="shared" si="2"/>
        <v>13107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>C34</f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91824</v>
      </c>
      <c r="D36" s="89">
        <f>C36</f>
        <v>91824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370022</v>
      </c>
      <c r="D37" s="81">
        <f>D12+D14+D25+D31</f>
        <v>370022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18781</v>
      </c>
      <c r="D38" s="23">
        <f>D39+D40+D41+D49+D51+D57+D58+D56</f>
        <v>18781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798</v>
      </c>
      <c r="D39" s="82">
        <f>C39</f>
        <v>798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2000</v>
      </c>
      <c r="D40" s="82">
        <f>C40</f>
        <v>2000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105</v>
      </c>
      <c r="D41" s="82">
        <f>D42+D44+D45+D46+D47+D48</f>
        <v>105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29</v>
      </c>
      <c r="D42" s="82">
        <f>C42</f>
        <v>29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26</v>
      </c>
      <c r="D43" s="82">
        <f>C43</f>
        <v>26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2</v>
      </c>
      <c r="D44" s="82">
        <f>C44</f>
        <v>2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aca="true" t="shared" si="3" ref="D45:D57">C45</f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71</v>
      </c>
      <c r="D47" s="82">
        <f t="shared" si="3"/>
        <v>71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3</v>
      </c>
      <c r="D48" s="82">
        <f t="shared" si="3"/>
        <v>3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10841</v>
      </c>
      <c r="D49" s="82">
        <f t="shared" si="3"/>
        <v>10841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39</v>
      </c>
      <c r="D50" s="82">
        <f>C50</f>
        <v>39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2398</v>
      </c>
      <c r="D51" s="75">
        <f>D52+D53+D54+D55</f>
        <v>2398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1864</v>
      </c>
      <c r="D52" s="82">
        <f t="shared" si="3"/>
        <v>1864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245</v>
      </c>
      <c r="D53" s="82">
        <f t="shared" si="3"/>
        <v>245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289</v>
      </c>
      <c r="D55" s="82">
        <f t="shared" si="3"/>
        <v>289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 t="shared" si="3"/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2486</v>
      </c>
      <c r="D57" s="82">
        <f t="shared" si="3"/>
        <v>2486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153</v>
      </c>
      <c r="D58" s="82">
        <f>C58</f>
        <v>153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8667</v>
      </c>
      <c r="D59" s="26">
        <f>D60+D61+D62+D63</f>
        <v>14693</v>
      </c>
      <c r="E59" s="12">
        <f t="shared" si="0"/>
        <v>6026</v>
      </c>
      <c r="F59" s="97">
        <f t="shared" si="1"/>
        <v>1.6953</v>
      </c>
    </row>
    <row r="60" spans="1:6" ht="42" customHeight="1">
      <c r="A60" s="30" t="s">
        <v>101</v>
      </c>
      <c r="B60" s="39" t="s">
        <v>123</v>
      </c>
      <c r="C60" s="78">
        <v>100</v>
      </c>
      <c r="D60" s="82">
        <f>C60-96</f>
        <v>4</v>
      </c>
      <c r="E60" s="75">
        <f t="shared" si="0"/>
        <v>-96</v>
      </c>
      <c r="F60" s="93">
        <f t="shared" si="1"/>
        <v>0.04</v>
      </c>
    </row>
    <row r="61" spans="1:6" ht="31.5" customHeight="1">
      <c r="A61" s="30" t="s">
        <v>30</v>
      </c>
      <c r="B61" s="39" t="s">
        <v>55</v>
      </c>
      <c r="C61" s="78">
        <v>7830</v>
      </c>
      <c r="D61" s="82">
        <f>C61+5330</f>
        <v>13160</v>
      </c>
      <c r="E61" s="75">
        <f t="shared" si="0"/>
        <v>5330</v>
      </c>
      <c r="F61" s="93">
        <f t="shared" si="1"/>
        <v>1.6807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737</v>
      </c>
      <c r="D63" s="82">
        <f>C63+792</f>
        <v>1529</v>
      </c>
      <c r="E63" s="75">
        <f t="shared" si="0"/>
        <v>792</v>
      </c>
      <c r="F63" s="93">
        <f t="shared" si="1"/>
        <v>2.0746</v>
      </c>
    </row>
    <row r="64" spans="1:6" ht="32.25" customHeight="1">
      <c r="A64" s="32" t="s">
        <v>109</v>
      </c>
      <c r="B64" s="44" t="s">
        <v>128</v>
      </c>
      <c r="C64" s="26">
        <v>92</v>
      </c>
      <c r="D64" s="26">
        <f>C64+488</f>
        <v>580</v>
      </c>
      <c r="E64" s="12">
        <f t="shared" si="0"/>
        <v>488</v>
      </c>
      <c r="F64" s="97">
        <f t="shared" si="1"/>
        <v>6.3043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75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5623816</v>
      </c>
      <c r="D7" s="15">
        <f>D8+D9+D10+D15+D16+D17+D18+D19+D20+D21+D22+D23+D24+D25+D29+D30+D32+D33</f>
        <v>5629742</v>
      </c>
      <c r="E7" s="12">
        <f>IF(C7=D7,"-",D7-C7)</f>
        <v>5926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722500</v>
      </c>
      <c r="D8" s="24">
        <f>C8</f>
        <v>722500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481532</v>
      </c>
      <c r="D9" s="24">
        <f aca="true" t="shared" si="2" ref="D9:D33">C9</f>
        <v>481532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2726027</v>
      </c>
      <c r="D10" s="24">
        <f>C10+5926</f>
        <v>2731953</v>
      </c>
      <c r="E10" s="92">
        <f t="shared" si="0"/>
        <v>5926</v>
      </c>
      <c r="F10" s="93">
        <f t="shared" si="1"/>
        <v>1.0022</v>
      </c>
    </row>
    <row r="11" spans="1:6" ht="31.5" customHeight="1">
      <c r="A11" s="27" t="s">
        <v>56</v>
      </c>
      <c r="B11" s="33" t="s">
        <v>159</v>
      </c>
      <c r="C11" s="78">
        <v>223240</v>
      </c>
      <c r="D11" s="24">
        <f t="shared" si="2"/>
        <v>223240</v>
      </c>
      <c r="E11" s="92" t="str">
        <f t="shared" si="0"/>
        <v>-</v>
      </c>
      <c r="F11" s="93">
        <f t="shared" si="1"/>
        <v>1</v>
      </c>
    </row>
    <row r="12" spans="1:6" s="86" customFormat="1" ht="31.5" customHeight="1">
      <c r="A12" s="27" t="s">
        <v>160</v>
      </c>
      <c r="B12" s="33" t="s">
        <v>163</v>
      </c>
      <c r="C12" s="78">
        <v>206869</v>
      </c>
      <c r="D12" s="24">
        <f t="shared" si="2"/>
        <v>206869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112777</v>
      </c>
      <c r="D13" s="24">
        <f t="shared" si="2"/>
        <v>112777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46654</v>
      </c>
      <c r="D14" s="24">
        <f t="shared" si="2"/>
        <v>46654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200361</v>
      </c>
      <c r="D15" s="24">
        <f t="shared" si="2"/>
        <v>200361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161588</v>
      </c>
      <c r="D16" s="24">
        <f t="shared" si="2"/>
        <v>161588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62392</v>
      </c>
      <c r="D17" s="24">
        <f t="shared" si="2"/>
        <v>62392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41308</v>
      </c>
      <c r="D18" s="24">
        <f t="shared" si="2"/>
        <v>41308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141788</v>
      </c>
      <c r="D19" s="24">
        <f t="shared" si="2"/>
        <v>141788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57000</v>
      </c>
      <c r="D20" s="24">
        <f t="shared" si="2"/>
        <v>57000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3400</v>
      </c>
      <c r="D21" s="24">
        <f t="shared" si="2"/>
        <v>3400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14733</v>
      </c>
      <c r="D22" s="24">
        <f t="shared" si="2"/>
        <v>14733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169484</v>
      </c>
      <c r="D23" s="24">
        <f t="shared" si="2"/>
        <v>169484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74000</v>
      </c>
      <c r="D24" s="24">
        <f t="shared" si="2"/>
        <v>74000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694158</v>
      </c>
      <c r="D25" s="78">
        <f>SUM(D26:D28)</f>
        <v>694158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692708</v>
      </c>
      <c r="D26" s="24">
        <f t="shared" si="2"/>
        <v>692708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1100</v>
      </c>
      <c r="D27" s="24">
        <f t="shared" si="2"/>
        <v>1100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350</v>
      </c>
      <c r="D28" s="24">
        <f t="shared" si="2"/>
        <v>350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73545</v>
      </c>
      <c r="D33" s="24">
        <f t="shared" si="2"/>
        <v>73545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>C34</f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145169</v>
      </c>
      <c r="D36" s="89">
        <f>C36</f>
        <v>145169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947681</v>
      </c>
      <c r="D37" s="81">
        <f>D12+D14+D25+D31</f>
        <v>947681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43740</v>
      </c>
      <c r="D38" s="23">
        <f>D39+D40+D41+D49+D51+D57+D58+D56</f>
        <v>43740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2407</v>
      </c>
      <c r="D39" s="82">
        <f>C39</f>
        <v>2407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8290</v>
      </c>
      <c r="D40" s="82">
        <f>C40</f>
        <v>8290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515</v>
      </c>
      <c r="D41" s="82">
        <f>D42+D44+D45+D46+D47+D48</f>
        <v>515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48</v>
      </c>
      <c r="D42" s="82">
        <f>C42</f>
        <v>48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48</v>
      </c>
      <c r="D43" s="82">
        <f aca="true" t="shared" si="3" ref="D43:D55">C43</f>
        <v>48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223</v>
      </c>
      <c r="D44" s="82">
        <f t="shared" si="3"/>
        <v>223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238</v>
      </c>
      <c r="D47" s="82">
        <f t="shared" si="3"/>
        <v>238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6</v>
      </c>
      <c r="D48" s="82">
        <f>C48</f>
        <v>6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22743</v>
      </c>
      <c r="D49" s="82">
        <f>C49</f>
        <v>22743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123</v>
      </c>
      <c r="D50" s="82">
        <f>C50</f>
        <v>123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5036</v>
      </c>
      <c r="D51" s="75">
        <f>D52+D53+D54+D55</f>
        <v>5036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3910</v>
      </c>
      <c r="D52" s="82">
        <f t="shared" si="3"/>
        <v>3910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557</v>
      </c>
      <c r="D53" s="82">
        <f t="shared" si="3"/>
        <v>557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569</v>
      </c>
      <c r="D55" s="82">
        <f t="shared" si="3"/>
        <v>569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4270</v>
      </c>
      <c r="D57" s="82">
        <f>C57</f>
        <v>4270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479</v>
      </c>
      <c r="D58" s="82">
        <f>C58</f>
        <v>479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21300</v>
      </c>
      <c r="D59" s="26">
        <f>D60+D61+D62+D63</f>
        <v>16174</v>
      </c>
      <c r="E59" s="12">
        <f t="shared" si="0"/>
        <v>-5126</v>
      </c>
      <c r="F59" s="97">
        <f t="shared" si="1"/>
        <v>0.7593</v>
      </c>
    </row>
    <row r="60" spans="1:6" ht="42" customHeight="1">
      <c r="A60" s="30" t="s">
        <v>101</v>
      </c>
      <c r="B60" s="39" t="s">
        <v>123</v>
      </c>
      <c r="C60" s="78">
        <v>100</v>
      </c>
      <c r="D60" s="82">
        <f>C60-50</f>
        <v>50</v>
      </c>
      <c r="E60" s="75">
        <f t="shared" si="0"/>
        <v>-50</v>
      </c>
      <c r="F60" s="93">
        <f t="shared" si="1"/>
        <v>0.5</v>
      </c>
    </row>
    <row r="61" spans="1:6" ht="31.5" customHeight="1">
      <c r="A61" s="30" t="s">
        <v>30</v>
      </c>
      <c r="B61" s="39" t="s">
        <v>55</v>
      </c>
      <c r="C61" s="78">
        <v>20000</v>
      </c>
      <c r="D61" s="82">
        <f>C61-4376</f>
        <v>15624</v>
      </c>
      <c r="E61" s="75">
        <f t="shared" si="0"/>
        <v>-4376</v>
      </c>
      <c r="F61" s="93">
        <f t="shared" si="1"/>
        <v>0.7812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1200</v>
      </c>
      <c r="D63" s="82">
        <f>C63-700</f>
        <v>500</v>
      </c>
      <c r="E63" s="75">
        <f t="shared" si="0"/>
        <v>-700</v>
      </c>
      <c r="F63" s="93">
        <f t="shared" si="1"/>
        <v>0.4167</v>
      </c>
    </row>
    <row r="64" spans="1:6" ht="32.25" customHeight="1">
      <c r="A64" s="32" t="s">
        <v>109</v>
      </c>
      <c r="B64" s="44" t="s">
        <v>128</v>
      </c>
      <c r="C64" s="26">
        <v>7000</v>
      </c>
      <c r="D64" s="26">
        <f>C64+332</f>
        <v>7332</v>
      </c>
      <c r="E64" s="12">
        <f t="shared" si="0"/>
        <v>332</v>
      </c>
      <c r="F64" s="97">
        <f t="shared" si="1"/>
        <v>1.0474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76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2836755</v>
      </c>
      <c r="D7" s="15">
        <f>D8+D9+D10+D15+D16+D17+D18+D19+D20+D21+D22+D23+D24+D25+D29+D30+D32+D33</f>
        <v>2839659</v>
      </c>
      <c r="E7" s="12">
        <f>IF(C7=D7,"-",D7-C7)</f>
        <v>2904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341821</v>
      </c>
      <c r="D8" s="24">
        <f>C8</f>
        <v>341821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249505</v>
      </c>
      <c r="D9" s="24">
        <f aca="true" t="shared" si="2" ref="D9:D33">C9</f>
        <v>249505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1411277</v>
      </c>
      <c r="D10" s="24">
        <f>C10+1904</f>
        <v>1413181</v>
      </c>
      <c r="E10" s="92">
        <f t="shared" si="0"/>
        <v>1904</v>
      </c>
      <c r="F10" s="93">
        <f t="shared" si="1"/>
        <v>1.0013</v>
      </c>
    </row>
    <row r="11" spans="1:6" ht="31.5" customHeight="1">
      <c r="A11" s="27" t="s">
        <v>56</v>
      </c>
      <c r="B11" s="33" t="s">
        <v>159</v>
      </c>
      <c r="C11" s="78">
        <v>101100</v>
      </c>
      <c r="D11" s="24">
        <f t="shared" si="2"/>
        <v>101100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92100</v>
      </c>
      <c r="D12" s="24">
        <f t="shared" si="2"/>
        <v>92100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55000</v>
      </c>
      <c r="D13" s="24">
        <f t="shared" si="2"/>
        <v>55000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23000</v>
      </c>
      <c r="D14" s="24">
        <f t="shared" si="2"/>
        <v>23000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92205</v>
      </c>
      <c r="D15" s="24">
        <f>C15+1000</f>
        <v>93205</v>
      </c>
      <c r="E15" s="92">
        <f t="shared" si="0"/>
        <v>1000</v>
      </c>
      <c r="F15" s="93">
        <f t="shared" si="1"/>
        <v>1.0108</v>
      </c>
    </row>
    <row r="16" spans="1:6" ht="33" customHeight="1">
      <c r="A16" s="28" t="s">
        <v>5</v>
      </c>
      <c r="B16" s="34" t="s">
        <v>134</v>
      </c>
      <c r="C16" s="78">
        <v>75422</v>
      </c>
      <c r="D16" s="24">
        <f t="shared" si="2"/>
        <v>75422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39834</v>
      </c>
      <c r="D17" s="24">
        <f t="shared" si="2"/>
        <v>39834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11567</v>
      </c>
      <c r="D18" s="24">
        <f t="shared" si="2"/>
        <v>11567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87866</v>
      </c>
      <c r="D19" s="24">
        <f t="shared" si="2"/>
        <v>87866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22365</v>
      </c>
      <c r="D20" s="24">
        <f t="shared" si="2"/>
        <v>22365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2400</v>
      </c>
      <c r="D21" s="24">
        <f t="shared" si="2"/>
        <v>2400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9517</v>
      </c>
      <c r="D22" s="24">
        <f t="shared" si="2"/>
        <v>9517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80252</v>
      </c>
      <c r="D23" s="24">
        <f t="shared" si="2"/>
        <v>80252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36373</v>
      </c>
      <c r="D24" s="24">
        <f t="shared" si="2"/>
        <v>36373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369081</v>
      </c>
      <c r="D25" s="78">
        <f>SUM(D26:D28)</f>
        <v>369081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368221</v>
      </c>
      <c r="D26" s="24">
        <f t="shared" si="2"/>
        <v>368221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476</v>
      </c>
      <c r="D27" s="24">
        <f t="shared" si="2"/>
        <v>476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384</v>
      </c>
      <c r="D28" s="24">
        <f t="shared" si="2"/>
        <v>384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7270</v>
      </c>
      <c r="D33" s="24">
        <f t="shared" si="2"/>
        <v>7270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>C34</f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100029</v>
      </c>
      <c r="D36" s="89">
        <f>C36</f>
        <v>100029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484181</v>
      </c>
      <c r="D37" s="81">
        <f>D12+D14+D25+D31</f>
        <v>484181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20697</v>
      </c>
      <c r="D38" s="23">
        <f>D39+D40+D41+D49+D51+D57+D58+D56</f>
        <v>20697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963</v>
      </c>
      <c r="D39" s="82">
        <f>C39</f>
        <v>963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2430</v>
      </c>
      <c r="D40" s="82">
        <f>C40</f>
        <v>2430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241</v>
      </c>
      <c r="D41" s="82">
        <f>D42+D44+D45+D46+D47+D48</f>
        <v>241</v>
      </c>
      <c r="E41" s="92" t="str">
        <f t="shared" si="0"/>
        <v>-</v>
      </c>
      <c r="F41" s="93">
        <f t="shared" si="1"/>
        <v>1</v>
      </c>
    </row>
    <row r="42" spans="1:6" ht="23.25" customHeight="1">
      <c r="A42" s="41" t="s">
        <v>39</v>
      </c>
      <c r="B42" s="42" t="s">
        <v>32</v>
      </c>
      <c r="C42" s="78">
        <v>28</v>
      </c>
      <c r="D42" s="82">
        <f>C42</f>
        <v>28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28</v>
      </c>
      <c r="D43" s="82">
        <f aca="true" t="shared" si="3" ref="D43:D55">C43</f>
        <v>28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6</v>
      </c>
      <c r="D44" s="82">
        <f t="shared" si="3"/>
        <v>6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184</v>
      </c>
      <c r="D47" s="82">
        <f t="shared" si="3"/>
        <v>184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23</v>
      </c>
      <c r="D48" s="82">
        <f>C48</f>
        <v>23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12623</v>
      </c>
      <c r="D49" s="82">
        <f>C49</f>
        <v>12623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50</v>
      </c>
      <c r="D50" s="82">
        <f>C50</f>
        <v>50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2803</v>
      </c>
      <c r="D51" s="75">
        <f>D52+D53+D54+D55</f>
        <v>2803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2169</v>
      </c>
      <c r="D52" s="82">
        <f t="shared" si="3"/>
        <v>2169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310</v>
      </c>
      <c r="D53" s="82">
        <f t="shared" si="3"/>
        <v>310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324</v>
      </c>
      <c r="D55" s="82">
        <f t="shared" si="3"/>
        <v>324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1428</v>
      </c>
      <c r="D57" s="82">
        <f>C57</f>
        <v>1428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209</v>
      </c>
      <c r="D58" s="82">
        <f>C58</f>
        <v>209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1060</v>
      </c>
      <c r="D59" s="26">
        <f>D60+D61+D62+D63</f>
        <v>364</v>
      </c>
      <c r="E59" s="12">
        <f t="shared" si="0"/>
        <v>-696</v>
      </c>
      <c r="F59" s="97">
        <f t="shared" si="1"/>
        <v>0.3434</v>
      </c>
    </row>
    <row r="60" spans="1:6" ht="42" customHeight="1">
      <c r="A60" s="30" t="s">
        <v>101</v>
      </c>
      <c r="B60" s="39" t="s">
        <v>123</v>
      </c>
      <c r="C60" s="78">
        <v>0</v>
      </c>
      <c r="D60" s="82">
        <f>C60</f>
        <v>0</v>
      </c>
      <c r="E60" s="75" t="str">
        <f t="shared" si="0"/>
        <v>-</v>
      </c>
      <c r="F60" s="93" t="str">
        <f t="shared" si="1"/>
        <v>-</v>
      </c>
    </row>
    <row r="61" spans="1:6" ht="31.5" customHeight="1">
      <c r="A61" s="30" t="s">
        <v>30</v>
      </c>
      <c r="B61" s="39" t="s">
        <v>55</v>
      </c>
      <c r="C61" s="78">
        <v>668</v>
      </c>
      <c r="D61" s="82">
        <f>C61-668</f>
        <v>0</v>
      </c>
      <c r="E61" s="75">
        <f t="shared" si="0"/>
        <v>-668</v>
      </c>
      <c r="F61" s="93">
        <f t="shared" si="1"/>
        <v>0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392</v>
      </c>
      <c r="D63" s="82">
        <f>C63-28</f>
        <v>364</v>
      </c>
      <c r="E63" s="75">
        <f t="shared" si="0"/>
        <v>-28</v>
      </c>
      <c r="F63" s="93">
        <f t="shared" si="1"/>
        <v>0.9286</v>
      </c>
    </row>
    <row r="64" spans="1:6" ht="32.25" customHeight="1">
      <c r="A64" s="32" t="s">
        <v>109</v>
      </c>
      <c r="B64" s="44" t="s">
        <v>128</v>
      </c>
      <c r="C64" s="26">
        <v>183</v>
      </c>
      <c r="D64" s="26">
        <f>C64-178</f>
        <v>5</v>
      </c>
      <c r="E64" s="12">
        <f t="shared" si="0"/>
        <v>-178</v>
      </c>
      <c r="F64" s="97">
        <f t="shared" si="1"/>
        <v>0.0273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D13" sqref="D13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186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C8+C9+C10+C15+C16+C17+C18+C19+C20+C21+C22+C23+C24+C25+C29+C30+C32+C33+C34</f>
        <v>724263</v>
      </c>
      <c r="D7" s="15">
        <f>D8+D9+D10+D15+D16+D17+D18+D19+D20+D21+D22+D23+D24+D25+D29+D30+D32+D33+D34</f>
        <v>724263</v>
      </c>
      <c r="E7" s="12" t="str">
        <f>IF(C7=D7,"-",D7-C7)</f>
        <v>-</v>
      </c>
      <c r="F7" s="91">
        <f>IF(C7=0,"-",D7/C7)</f>
        <v>1</v>
      </c>
    </row>
    <row r="8" spans="1:6" ht="33" customHeight="1">
      <c r="A8" s="28" t="s">
        <v>1</v>
      </c>
      <c r="B8" s="34" t="s">
        <v>132</v>
      </c>
      <c r="C8" s="78">
        <v>0</v>
      </c>
      <c r="D8" s="24">
        <f>C8</f>
        <v>0</v>
      </c>
      <c r="E8" s="92" t="str">
        <f aca="true" t="shared" si="0" ref="E8:E64">IF(C8=D8,"-",D8-C8)</f>
        <v>-</v>
      </c>
      <c r="F8" s="93" t="str">
        <f aca="true" t="shared" si="1" ref="F8:F64">IF(C8=0,"-",D8/C8)</f>
        <v>-</v>
      </c>
    </row>
    <row r="9" spans="1:6" ht="33" customHeight="1">
      <c r="A9" s="28" t="s">
        <v>2</v>
      </c>
      <c r="B9" s="34" t="s">
        <v>133</v>
      </c>
      <c r="C9" s="78">
        <v>0</v>
      </c>
      <c r="D9" s="24">
        <f aca="true" t="shared" si="2" ref="D9:D36">C9</f>
        <v>0</v>
      </c>
      <c r="E9" s="92" t="str">
        <f t="shared" si="0"/>
        <v>-</v>
      </c>
      <c r="F9" s="93" t="str">
        <f t="shared" si="1"/>
        <v>-</v>
      </c>
    </row>
    <row r="10" spans="1:6" ht="33" customHeight="1">
      <c r="A10" s="28" t="s">
        <v>3</v>
      </c>
      <c r="B10" s="34" t="s">
        <v>130</v>
      </c>
      <c r="C10" s="78">
        <v>0</v>
      </c>
      <c r="D10" s="24">
        <f t="shared" si="2"/>
        <v>0</v>
      </c>
      <c r="E10" s="92" t="str">
        <f t="shared" si="0"/>
        <v>-</v>
      </c>
      <c r="F10" s="93" t="str">
        <f t="shared" si="1"/>
        <v>-</v>
      </c>
    </row>
    <row r="11" spans="1:6" ht="31.5" customHeight="1">
      <c r="A11" s="27" t="s">
        <v>56</v>
      </c>
      <c r="B11" s="33" t="s">
        <v>159</v>
      </c>
      <c r="C11" s="78">
        <v>0</v>
      </c>
      <c r="D11" s="24">
        <f t="shared" si="2"/>
        <v>0</v>
      </c>
      <c r="E11" s="92" t="str">
        <f t="shared" si="0"/>
        <v>-</v>
      </c>
      <c r="F11" s="93" t="str">
        <f t="shared" si="1"/>
        <v>-</v>
      </c>
    </row>
    <row r="12" spans="1:6" ht="31.5" customHeight="1">
      <c r="A12" s="27" t="s">
        <v>160</v>
      </c>
      <c r="B12" s="33" t="s">
        <v>163</v>
      </c>
      <c r="C12" s="78">
        <v>0</v>
      </c>
      <c r="D12" s="24">
        <f t="shared" si="2"/>
        <v>0</v>
      </c>
      <c r="E12" s="92" t="str">
        <f t="shared" si="0"/>
        <v>-</v>
      </c>
      <c r="F12" s="93" t="str">
        <f t="shared" si="1"/>
        <v>-</v>
      </c>
    </row>
    <row r="13" spans="1:6" ht="31.5" customHeight="1">
      <c r="A13" s="27" t="s">
        <v>161</v>
      </c>
      <c r="B13" s="33" t="s">
        <v>164</v>
      </c>
      <c r="C13" s="78">
        <v>0</v>
      </c>
      <c r="D13" s="24">
        <f t="shared" si="2"/>
        <v>0</v>
      </c>
      <c r="E13" s="92" t="str">
        <f t="shared" si="0"/>
        <v>-</v>
      </c>
      <c r="F13" s="93" t="str">
        <f t="shared" si="1"/>
        <v>-</v>
      </c>
    </row>
    <row r="14" spans="1:6" ht="31.5" customHeight="1">
      <c r="A14" s="27" t="s">
        <v>162</v>
      </c>
      <c r="B14" s="33" t="s">
        <v>165</v>
      </c>
      <c r="C14" s="78">
        <v>0</v>
      </c>
      <c r="D14" s="24">
        <f t="shared" si="2"/>
        <v>0</v>
      </c>
      <c r="E14" s="92" t="str">
        <f t="shared" si="0"/>
        <v>-</v>
      </c>
      <c r="F14" s="93" t="str">
        <f t="shared" si="1"/>
        <v>-</v>
      </c>
    </row>
    <row r="15" spans="1:6" ht="33" customHeight="1">
      <c r="A15" s="28" t="s">
        <v>4</v>
      </c>
      <c r="B15" s="34" t="s">
        <v>138</v>
      </c>
      <c r="C15" s="78">
        <v>0</v>
      </c>
      <c r="D15" s="24">
        <f t="shared" si="2"/>
        <v>0</v>
      </c>
      <c r="E15" s="92" t="str">
        <f t="shared" si="0"/>
        <v>-</v>
      </c>
      <c r="F15" s="93" t="str">
        <f t="shared" si="1"/>
        <v>-</v>
      </c>
    </row>
    <row r="16" spans="1:6" ht="33" customHeight="1">
      <c r="A16" s="28" t="s">
        <v>5</v>
      </c>
      <c r="B16" s="34" t="s">
        <v>134</v>
      </c>
      <c r="C16" s="78">
        <v>0</v>
      </c>
      <c r="D16" s="24">
        <f t="shared" si="2"/>
        <v>0</v>
      </c>
      <c r="E16" s="92" t="str">
        <f t="shared" si="0"/>
        <v>-</v>
      </c>
      <c r="F16" s="93" t="str">
        <f t="shared" si="1"/>
        <v>-</v>
      </c>
    </row>
    <row r="17" spans="1:6" ht="33" customHeight="1">
      <c r="A17" s="28" t="s">
        <v>6</v>
      </c>
      <c r="B17" s="34" t="s">
        <v>140</v>
      </c>
      <c r="C17" s="78">
        <v>0</v>
      </c>
      <c r="D17" s="24">
        <f t="shared" si="2"/>
        <v>0</v>
      </c>
      <c r="E17" s="92" t="str">
        <f t="shared" si="0"/>
        <v>-</v>
      </c>
      <c r="F17" s="93" t="str">
        <f t="shared" si="1"/>
        <v>-</v>
      </c>
    </row>
    <row r="18" spans="1:6" ht="33" customHeight="1">
      <c r="A18" s="28" t="s">
        <v>7</v>
      </c>
      <c r="B18" s="34" t="s">
        <v>139</v>
      </c>
      <c r="C18" s="78">
        <v>0</v>
      </c>
      <c r="D18" s="24">
        <f t="shared" si="2"/>
        <v>0</v>
      </c>
      <c r="E18" s="92" t="str">
        <f t="shared" si="0"/>
        <v>-</v>
      </c>
      <c r="F18" s="93" t="str">
        <f t="shared" si="1"/>
        <v>-</v>
      </c>
    </row>
    <row r="19" spans="1:6" ht="33" customHeight="1">
      <c r="A19" s="28" t="s">
        <v>8</v>
      </c>
      <c r="B19" s="34" t="s">
        <v>135</v>
      </c>
      <c r="C19" s="78">
        <v>0</v>
      </c>
      <c r="D19" s="24">
        <f t="shared" si="2"/>
        <v>0</v>
      </c>
      <c r="E19" s="92" t="str">
        <f t="shared" si="0"/>
        <v>-</v>
      </c>
      <c r="F19" s="93" t="str">
        <f t="shared" si="1"/>
        <v>-</v>
      </c>
    </row>
    <row r="20" spans="1:6" ht="33" customHeight="1">
      <c r="A20" s="28" t="s">
        <v>9</v>
      </c>
      <c r="B20" s="34" t="s">
        <v>136</v>
      </c>
      <c r="C20" s="78">
        <v>0</v>
      </c>
      <c r="D20" s="24">
        <f t="shared" si="2"/>
        <v>0</v>
      </c>
      <c r="E20" s="92" t="str">
        <f t="shared" si="0"/>
        <v>-</v>
      </c>
      <c r="F20" s="93" t="str">
        <f t="shared" si="1"/>
        <v>-</v>
      </c>
    </row>
    <row r="21" spans="1:6" ht="33" customHeight="1">
      <c r="A21" s="28" t="s">
        <v>10</v>
      </c>
      <c r="B21" s="34" t="s">
        <v>141</v>
      </c>
      <c r="C21" s="78">
        <v>0</v>
      </c>
      <c r="D21" s="24">
        <f t="shared" si="2"/>
        <v>0</v>
      </c>
      <c r="E21" s="92" t="str">
        <f t="shared" si="0"/>
        <v>-</v>
      </c>
      <c r="F21" s="93" t="str">
        <f t="shared" si="1"/>
        <v>-</v>
      </c>
    </row>
    <row r="22" spans="1:6" ht="46.5" customHeight="1">
      <c r="A22" s="28" t="s">
        <v>11</v>
      </c>
      <c r="B22" s="34" t="s">
        <v>137</v>
      </c>
      <c r="C22" s="78">
        <v>0</v>
      </c>
      <c r="D22" s="24">
        <f t="shared" si="2"/>
        <v>0</v>
      </c>
      <c r="E22" s="92" t="str">
        <f t="shared" si="0"/>
        <v>-</v>
      </c>
      <c r="F22" s="93" t="str">
        <f t="shared" si="1"/>
        <v>-</v>
      </c>
    </row>
    <row r="23" spans="1:6" ht="33" customHeight="1">
      <c r="A23" s="28" t="s">
        <v>12</v>
      </c>
      <c r="B23" s="34" t="s">
        <v>182</v>
      </c>
      <c r="C23" s="78">
        <v>0</v>
      </c>
      <c r="D23" s="24">
        <f t="shared" si="2"/>
        <v>0</v>
      </c>
      <c r="E23" s="92" t="str">
        <f t="shared" si="0"/>
        <v>-</v>
      </c>
      <c r="F23" s="93" t="str">
        <f t="shared" si="1"/>
        <v>-</v>
      </c>
    </row>
    <row r="24" spans="1:6" ht="33" customHeight="1">
      <c r="A24" s="28" t="s">
        <v>13</v>
      </c>
      <c r="B24" s="34" t="s">
        <v>166</v>
      </c>
      <c r="C24" s="78">
        <v>0</v>
      </c>
      <c r="D24" s="24">
        <f t="shared" si="2"/>
        <v>0</v>
      </c>
      <c r="E24" s="92" t="str">
        <f t="shared" si="0"/>
        <v>-</v>
      </c>
      <c r="F24" s="93" t="str">
        <f t="shared" si="1"/>
        <v>-</v>
      </c>
    </row>
    <row r="25" spans="1:6" ht="33" customHeight="1">
      <c r="A25" s="29" t="s">
        <v>14</v>
      </c>
      <c r="B25" s="76" t="s">
        <v>195</v>
      </c>
      <c r="C25" s="78">
        <v>0</v>
      </c>
      <c r="D25" s="24">
        <f>C25</f>
        <v>0</v>
      </c>
      <c r="E25" s="92" t="str">
        <f t="shared" si="0"/>
        <v>-</v>
      </c>
      <c r="F25" s="93" t="str">
        <f t="shared" si="1"/>
        <v>-</v>
      </c>
    </row>
    <row r="26" spans="1:6" ht="31.5">
      <c r="A26" s="27" t="s">
        <v>142</v>
      </c>
      <c r="B26" s="33" t="s">
        <v>168</v>
      </c>
      <c r="C26" s="78">
        <v>0</v>
      </c>
      <c r="D26" s="24">
        <f t="shared" si="2"/>
        <v>0</v>
      </c>
      <c r="E26" s="92" t="str">
        <f t="shared" si="0"/>
        <v>-</v>
      </c>
      <c r="F26" s="93" t="str">
        <f t="shared" si="1"/>
        <v>-</v>
      </c>
    </row>
    <row r="27" spans="1:6" ht="31.5" customHeight="1">
      <c r="A27" s="27" t="s">
        <v>167</v>
      </c>
      <c r="B27" s="33" t="s">
        <v>170</v>
      </c>
      <c r="C27" s="78">
        <v>0</v>
      </c>
      <c r="D27" s="24">
        <f t="shared" si="2"/>
        <v>0</v>
      </c>
      <c r="E27" s="92" t="str">
        <f t="shared" si="0"/>
        <v>-</v>
      </c>
      <c r="F27" s="93" t="str">
        <f t="shared" si="1"/>
        <v>-</v>
      </c>
    </row>
    <row r="28" spans="1:6" ht="31.5" customHeight="1">
      <c r="A28" s="27" t="s">
        <v>171</v>
      </c>
      <c r="B28" s="33" t="s">
        <v>169</v>
      </c>
      <c r="C28" s="78">
        <v>0</v>
      </c>
      <c r="D28" s="24">
        <f t="shared" si="2"/>
        <v>0</v>
      </c>
      <c r="E28" s="92" t="str">
        <f t="shared" si="0"/>
        <v>-</v>
      </c>
      <c r="F28" s="93" t="str">
        <f t="shared" si="1"/>
        <v>-</v>
      </c>
    </row>
    <row r="29" spans="1:6" ht="33" customHeight="1">
      <c r="A29" s="30" t="s">
        <v>15</v>
      </c>
      <c r="B29" s="35" t="s">
        <v>121</v>
      </c>
      <c r="C29" s="78">
        <v>399133</v>
      </c>
      <c r="D29" s="24">
        <f t="shared" si="2"/>
        <v>399133</v>
      </c>
      <c r="E29" s="92" t="str">
        <f t="shared" si="0"/>
        <v>-</v>
      </c>
      <c r="F29" s="93">
        <f t="shared" si="1"/>
        <v>1</v>
      </c>
    </row>
    <row r="30" spans="1:6" ht="33" customHeight="1">
      <c r="A30" s="30" t="s">
        <v>118</v>
      </c>
      <c r="B30" s="36" t="s">
        <v>172</v>
      </c>
      <c r="C30" s="78">
        <v>19196</v>
      </c>
      <c r="D30" s="24">
        <f t="shared" si="2"/>
        <v>19196</v>
      </c>
      <c r="E30" s="92" t="str">
        <f t="shared" si="0"/>
        <v>-</v>
      </c>
      <c r="F30" s="93">
        <f t="shared" si="1"/>
        <v>1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0</v>
      </c>
      <c r="D33" s="24">
        <f t="shared" si="2"/>
        <v>0</v>
      </c>
      <c r="E33" s="92" t="str">
        <f t="shared" si="0"/>
        <v>-</v>
      </c>
      <c r="F33" s="93" t="str">
        <f t="shared" si="1"/>
        <v>-</v>
      </c>
    </row>
    <row r="34" spans="1:6" ht="51.75" customHeight="1">
      <c r="A34" s="30" t="s">
        <v>192</v>
      </c>
      <c r="B34" s="36" t="s">
        <v>193</v>
      </c>
      <c r="C34" s="78">
        <v>305934</v>
      </c>
      <c r="D34" s="24">
        <f>C34</f>
        <v>305934</v>
      </c>
      <c r="E34" s="92" t="str">
        <f>IF(C34=D34,"-",D34-C34)</f>
        <v>-</v>
      </c>
      <c r="F34" s="93">
        <f>IF(C34=0,"-",D34/C34)</f>
        <v>1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 t="shared" si="2"/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0</v>
      </c>
      <c r="D36" s="89">
        <f t="shared" si="2"/>
        <v>0</v>
      </c>
      <c r="E36" s="14" t="str">
        <f t="shared" si="0"/>
        <v>-</v>
      </c>
      <c r="F36" s="94" t="str">
        <f t="shared" si="1"/>
        <v>-</v>
      </c>
    </row>
    <row r="37" spans="1:6" s="4" customFormat="1" ht="42.75" customHeight="1">
      <c r="A37" s="31" t="s">
        <v>174</v>
      </c>
      <c r="B37" s="37" t="s">
        <v>175</v>
      </c>
      <c r="C37" s="81">
        <v>0</v>
      </c>
      <c r="D37" s="81">
        <f>D12+D14+D25+D31</f>
        <v>0</v>
      </c>
      <c r="E37" s="14" t="str">
        <f t="shared" si="0"/>
        <v>-</v>
      </c>
      <c r="F37" s="94" t="str">
        <f t="shared" si="1"/>
        <v>-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206155</v>
      </c>
      <c r="D38" s="23">
        <f>D39+D40+D41+D49+D51+D57+D58+D56</f>
        <v>206155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5016</v>
      </c>
      <c r="D39" s="82">
        <f>C39</f>
        <v>5016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100191</v>
      </c>
      <c r="D40" s="82">
        <f aca="true" t="shared" si="3" ref="D40:D58">C40</f>
        <v>100191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490</v>
      </c>
      <c r="D41" s="82">
        <f>D42+D44+D45+D46+D47+D48</f>
        <v>490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43</v>
      </c>
      <c r="D42" s="82">
        <f t="shared" si="3"/>
        <v>43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43</v>
      </c>
      <c r="D43" s="82">
        <f t="shared" si="3"/>
        <v>43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30</v>
      </c>
      <c r="D44" s="82">
        <f t="shared" si="3"/>
        <v>30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17</v>
      </c>
      <c r="D45" s="82">
        <f t="shared" si="3"/>
        <v>17</v>
      </c>
      <c r="E45" s="92" t="str">
        <f t="shared" si="0"/>
        <v>-</v>
      </c>
      <c r="F45" s="93">
        <f t="shared" si="1"/>
        <v>1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360</v>
      </c>
      <c r="D47" s="82">
        <f t="shared" si="3"/>
        <v>360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40</v>
      </c>
      <c r="D48" s="82">
        <f t="shared" si="3"/>
        <v>40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32533</v>
      </c>
      <c r="D49" s="82">
        <f t="shared" si="3"/>
        <v>32533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372</v>
      </c>
      <c r="D50" s="82">
        <f t="shared" si="3"/>
        <v>372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SUM(C52:C55)</f>
        <v>8161</v>
      </c>
      <c r="D51" s="75">
        <f>SUM(D52:D55)</f>
        <v>8161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5601</v>
      </c>
      <c r="D52" s="82">
        <f t="shared" si="3"/>
        <v>5601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799</v>
      </c>
      <c r="D53" s="82">
        <f t="shared" si="3"/>
        <v>799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1761</v>
      </c>
      <c r="D55" s="82">
        <f t="shared" si="3"/>
        <v>1761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50</v>
      </c>
      <c r="D56" s="82">
        <f t="shared" si="3"/>
        <v>50</v>
      </c>
      <c r="E56" s="92" t="str">
        <f t="shared" si="0"/>
        <v>-</v>
      </c>
      <c r="F56" s="93">
        <f t="shared" si="1"/>
        <v>1</v>
      </c>
    </row>
    <row r="57" spans="1:6" ht="28.5" customHeight="1">
      <c r="A57" s="30" t="s">
        <v>26</v>
      </c>
      <c r="B57" s="39" t="s">
        <v>179</v>
      </c>
      <c r="C57" s="78">
        <v>57574</v>
      </c>
      <c r="D57" s="82">
        <f t="shared" si="3"/>
        <v>57574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2140</v>
      </c>
      <c r="D58" s="82">
        <f t="shared" si="3"/>
        <v>2140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53634</v>
      </c>
      <c r="D59" s="26">
        <f>D60+D61+D62+D63</f>
        <v>53634</v>
      </c>
      <c r="E59" s="12" t="str">
        <f t="shared" si="0"/>
        <v>-</v>
      </c>
      <c r="F59" s="97">
        <f t="shared" si="1"/>
        <v>1</v>
      </c>
    </row>
    <row r="60" spans="1:6" ht="42" customHeight="1">
      <c r="A60" s="30" t="s">
        <v>101</v>
      </c>
      <c r="B60" s="39" t="s">
        <v>123</v>
      </c>
      <c r="C60" s="78">
        <v>338</v>
      </c>
      <c r="D60" s="82">
        <f>C60</f>
        <v>338</v>
      </c>
      <c r="E60" s="75" t="str">
        <f t="shared" si="0"/>
        <v>-</v>
      </c>
      <c r="F60" s="93">
        <f t="shared" si="1"/>
        <v>1</v>
      </c>
    </row>
    <row r="61" spans="1:6" ht="31.5" customHeight="1">
      <c r="A61" s="30" t="s">
        <v>30</v>
      </c>
      <c r="B61" s="39" t="s">
        <v>55</v>
      </c>
      <c r="C61" s="78">
        <v>340</v>
      </c>
      <c r="D61" s="82">
        <f>C61</f>
        <v>340</v>
      </c>
      <c r="E61" s="75" t="str">
        <f t="shared" si="0"/>
        <v>-</v>
      </c>
      <c r="F61" s="93">
        <f t="shared" si="1"/>
        <v>1</v>
      </c>
    </row>
    <row r="62" spans="1:6" ht="31.5" customHeight="1">
      <c r="A62" s="30" t="s">
        <v>31</v>
      </c>
      <c r="B62" s="39" t="s">
        <v>103</v>
      </c>
      <c r="C62" s="78">
        <v>46737</v>
      </c>
      <c r="D62" s="82">
        <f>C62</f>
        <v>46737</v>
      </c>
      <c r="E62" s="75" t="str">
        <f t="shared" si="0"/>
        <v>-</v>
      </c>
      <c r="F62" s="93">
        <f t="shared" si="1"/>
        <v>1</v>
      </c>
    </row>
    <row r="63" spans="1:6" ht="31.5" customHeight="1">
      <c r="A63" s="30" t="s">
        <v>102</v>
      </c>
      <c r="B63" s="39" t="s">
        <v>104</v>
      </c>
      <c r="C63" s="78">
        <v>6219</v>
      </c>
      <c r="D63" s="82">
        <f>C63</f>
        <v>6219</v>
      </c>
      <c r="E63" s="75" t="str">
        <f t="shared" si="0"/>
        <v>-</v>
      </c>
      <c r="F63" s="93">
        <f t="shared" si="1"/>
        <v>1</v>
      </c>
    </row>
    <row r="64" spans="1:6" ht="32.25" customHeight="1">
      <c r="A64" s="32" t="s">
        <v>109</v>
      </c>
      <c r="B64" s="44" t="s">
        <v>128</v>
      </c>
      <c r="C64" s="26">
        <v>6119</v>
      </c>
      <c r="D64" s="26">
        <f>C64</f>
        <v>6119</v>
      </c>
      <c r="E64" s="12" t="str">
        <f t="shared" si="0"/>
        <v>-</v>
      </c>
      <c r="F64" s="97">
        <f t="shared" si="1"/>
        <v>1</v>
      </c>
    </row>
    <row r="70" ht="12.75">
      <c r="C70" s="83"/>
    </row>
  </sheetData>
  <sheetProtection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  <ignoredErrors>
    <ignoredError sqref="F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25390625" style="1" bestFit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187</v>
      </c>
      <c r="B2" s="85"/>
      <c r="C2" s="85"/>
    </row>
    <row r="3" spans="1:6" ht="33" customHeight="1">
      <c r="A3" s="7"/>
      <c r="B3" s="8"/>
      <c r="C3" s="84"/>
      <c r="D3" s="10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2">
        <f>C8+C9+C10+C15+C16+C17+C18+C19+C20+C21+C22+C23+C24+C25+C29+C30+C32+C33</f>
        <v>63726468</v>
      </c>
      <c r="D7" s="12">
        <f>D8+D9+D10+D15+D16+D17+D18+D19+D20+D21+D22+D23+D24+D25+D29+D30+D32+D33</f>
        <v>63792932</v>
      </c>
      <c r="E7" s="12">
        <f>IF(C7=D7,"-",D7-C7)</f>
        <v>66464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f>Dolnośląski!C8+KujawskoPomorski!C8+Lubelski!C8+Lubuski!C8+Łódzki!C8+Małopolski!C8+Mazowiecki!C8+Opolski!C8+Podkarpacki!C8+Podlaski!C8+Pomorski!C8+Śląski!C8+Świętokrzyski!C8+WarmińskoMazurski!C8+Wielkopolski!C8+Zachodniopomorski!C8</f>
        <v>7725799</v>
      </c>
      <c r="D8" s="78">
        <f>Dolnośląski!D8+KujawskoPomorski!D8+Lubelski!D8+Lubuski!D8+Łódzki!D8+Małopolski!D8+Mazowiecki!D8+Opolski!D8+Podkarpacki!D8+Podlaski!D8+Pomorski!D8+Śląski!D8+Świętokrzyski!D8+WarmińskoMazurski!D8+Wielkopolski!D8+Zachodniopomorski!D8</f>
        <v>7727318</v>
      </c>
      <c r="E8" s="92">
        <f aca="true" t="shared" si="0" ref="E8:E64">IF(C8=D8,"-",D8-C8)</f>
        <v>1519</v>
      </c>
      <c r="F8" s="93">
        <f aca="true" t="shared" si="1" ref="F8:F64">IF(C8=0,"-",D8/C8)</f>
        <v>1.0002</v>
      </c>
    </row>
    <row r="9" spans="1:6" ht="33" customHeight="1">
      <c r="A9" s="28" t="s">
        <v>2</v>
      </c>
      <c r="B9" s="34" t="s">
        <v>133</v>
      </c>
      <c r="C9" s="78">
        <f>Dolnośląski!C9+KujawskoPomorski!C9+Lubelski!C9+Lubuski!C9+Łódzki!C9+Małopolski!C9+Mazowiecki!C9+Opolski!C9+Podkarpacki!C9+Podlaski!C9+Pomorski!C9+Śląski!C9+Świętokrzyski!C9+WarmińskoMazurski!C9+Wielkopolski!C9+Zachodniopomorski!C9</f>
        <v>5540596</v>
      </c>
      <c r="D9" s="78">
        <f>Dolnośląski!D9+KujawskoPomorski!D9+Lubelski!D9+Lubuski!D9+Łódzki!D9+Małopolski!D9+Mazowiecki!D9+Opolski!D9+Podkarpacki!D9+Podlaski!D9+Pomorski!D9+Śląski!D9+Świętokrzyski!D9+WarmińskoMazurski!D9+Wielkopolski!D9+Zachodniopomorski!D9</f>
        <v>5540596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31049560</v>
      </c>
      <c r="D10" s="78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31101102</v>
      </c>
      <c r="E10" s="92">
        <f t="shared" si="0"/>
        <v>51542</v>
      </c>
      <c r="F10" s="93">
        <f t="shared" si="1"/>
        <v>1.0017</v>
      </c>
    </row>
    <row r="11" spans="1:6" ht="31.5" customHeight="1">
      <c r="A11" s="27" t="s">
        <v>56</v>
      </c>
      <c r="B11" s="33" t="s">
        <v>159</v>
      </c>
      <c r="C11" s="78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2641319</v>
      </c>
      <c r="D11" s="78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2641319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2417446</v>
      </c>
      <c r="D12" s="78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2417446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1349137</v>
      </c>
      <c r="D13" s="78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1349137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544741</v>
      </c>
      <c r="D14" s="78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544741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2331169</v>
      </c>
      <c r="D15" s="78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2332816</v>
      </c>
      <c r="E15" s="92">
        <f t="shared" si="0"/>
        <v>1647</v>
      </c>
      <c r="F15" s="93">
        <f t="shared" si="1"/>
        <v>1.0007</v>
      </c>
    </row>
    <row r="16" spans="1:6" ht="33" customHeight="1">
      <c r="A16" s="28" t="s">
        <v>5</v>
      </c>
      <c r="B16" s="34" t="s">
        <v>134</v>
      </c>
      <c r="C16" s="78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2096300</v>
      </c>
      <c r="D16" s="78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2096300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1107536</v>
      </c>
      <c r="D17" s="78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1109343</v>
      </c>
      <c r="E17" s="92">
        <f t="shared" si="0"/>
        <v>1807</v>
      </c>
      <c r="F17" s="93">
        <f t="shared" si="1"/>
        <v>1.0016</v>
      </c>
    </row>
    <row r="18" spans="1:6" ht="33" customHeight="1">
      <c r="A18" s="28" t="s">
        <v>7</v>
      </c>
      <c r="B18" s="34" t="s">
        <v>139</v>
      </c>
      <c r="C18" s="78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375271</v>
      </c>
      <c r="D18" s="78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382703</v>
      </c>
      <c r="E18" s="92">
        <f t="shared" si="0"/>
        <v>7432</v>
      </c>
      <c r="F18" s="93">
        <f t="shared" si="1"/>
        <v>1.0198</v>
      </c>
    </row>
    <row r="19" spans="1:6" ht="33" customHeight="1">
      <c r="A19" s="28" t="s">
        <v>8</v>
      </c>
      <c r="B19" s="34" t="s">
        <v>135</v>
      </c>
      <c r="C19" s="78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1773179</v>
      </c>
      <c r="D19" s="78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1773179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618616</v>
      </c>
      <c r="D20" s="78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618616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46036</v>
      </c>
      <c r="D21" s="78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46036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177023</v>
      </c>
      <c r="D22" s="78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177023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1743960</v>
      </c>
      <c r="D23" s="78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1746477</v>
      </c>
      <c r="E23" s="92">
        <f t="shared" si="0"/>
        <v>2517</v>
      </c>
      <c r="F23" s="93">
        <f t="shared" si="1"/>
        <v>1.0014</v>
      </c>
    </row>
    <row r="24" spans="1:6" ht="33" customHeight="1">
      <c r="A24" s="28" t="s">
        <v>13</v>
      </c>
      <c r="B24" s="34" t="s">
        <v>166</v>
      </c>
      <c r="C24" s="78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840982</v>
      </c>
      <c r="D24" s="78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840982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7938896</v>
      </c>
      <c r="D25" s="78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7938896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7896346</v>
      </c>
      <c r="D26" s="78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7896346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33144</v>
      </c>
      <c r="D27" s="78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33144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9406</v>
      </c>
      <c r="D28" s="78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9406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78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78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78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78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361545</v>
      </c>
      <c r="D33" s="78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361545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78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79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0</v>
      </c>
      <c r="D35" s="79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79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1839959</v>
      </c>
      <c r="D36" s="79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1839959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79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10901083</v>
      </c>
      <c r="D37" s="79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10901083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498465</v>
      </c>
      <c r="D38" s="23">
        <f>D39+D40+D41+D49+D51+D57+D58+D56</f>
        <v>498465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23978</v>
      </c>
      <c r="D39" s="7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23978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65463</v>
      </c>
      <c r="D40" s="7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65463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4722</v>
      </c>
      <c r="D41" s="82">
        <f>D42+D44+D45+D46+D47+D48</f>
        <v>4722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575</v>
      </c>
      <c r="D42" s="7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575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548</v>
      </c>
      <c r="D43" s="7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548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513</v>
      </c>
      <c r="D44" s="7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513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15</v>
      </c>
      <c r="D45" s="7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15</v>
      </c>
      <c r="E45" s="92" t="str">
        <f t="shared" si="0"/>
        <v>-</v>
      </c>
      <c r="F45" s="93">
        <f t="shared" si="1"/>
        <v>1</v>
      </c>
    </row>
    <row r="46" spans="1:6" ht="28.5" customHeight="1">
      <c r="A46" s="41" t="s">
        <v>43</v>
      </c>
      <c r="B46" s="42" t="s">
        <v>36</v>
      </c>
      <c r="C46" s="7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0</v>
      </c>
      <c r="D46" s="7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3354</v>
      </c>
      <c r="D47" s="7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3354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5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265</v>
      </c>
      <c r="D48" s="75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265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5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280324</v>
      </c>
      <c r="D49" s="75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280324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1183</v>
      </c>
      <c r="D50" s="7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1183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62160</v>
      </c>
      <c r="D51" s="75">
        <f>D52+D53+D54+D55</f>
        <v>62160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47873</v>
      </c>
      <c r="D52" s="7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47873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6749</v>
      </c>
      <c r="D53" s="7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6749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7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7538</v>
      </c>
      <c r="D55" s="7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7538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5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0</v>
      </c>
      <c r="D56" s="75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56297</v>
      </c>
      <c r="D57" s="78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56297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5">
        <f>Dolnośląski!C58+KujawskoPomorski!C58+Lubelski!C58+Lubuski!C58+Łódzki!C58+Małopolski!C58+Mazowiecki!C58+Opolski!C58+Podkarpacki!C58+Podlaski!C58+Pomorski!C58+Śląski!C58+Świętokrzyski!C58+WarmińskoMazurski!C58+Wielkopolski!C58+Zachodniopomorski!C58</f>
        <v>5521</v>
      </c>
      <c r="D58" s="75">
        <f>Dolnośląski!D58+KujawskoPomorski!D58+Lubelski!D58+Lubuski!D58+Łódzki!D58+Małopolski!D58+Mazowiecki!D58+Opolski!D58+Podkarpacki!D58+Podlaski!D58+Pomorski!D58+Śląski!D58+Świętokrzyski!D58+WarmińskoMazurski!D58+Wielkopolski!D58+Zachodniopomorski!D58</f>
        <v>5521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80">
        <f>C60+C61+C62+C63</f>
        <v>275041</v>
      </c>
      <c r="D59" s="80">
        <f>D60+D61+D62+D63</f>
        <v>211197</v>
      </c>
      <c r="E59" s="12">
        <f t="shared" si="0"/>
        <v>-63844</v>
      </c>
      <c r="F59" s="97">
        <f t="shared" si="1"/>
        <v>0.7679</v>
      </c>
    </row>
    <row r="60" spans="1:6" ht="42" customHeight="1">
      <c r="A60" s="30" t="s">
        <v>101</v>
      </c>
      <c r="B60" s="39" t="s">
        <v>123</v>
      </c>
      <c r="C60" s="75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581</v>
      </c>
      <c r="D60" s="75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374</v>
      </c>
      <c r="E60" s="75">
        <f t="shared" si="0"/>
        <v>-207</v>
      </c>
      <c r="F60" s="93">
        <f t="shared" si="1"/>
        <v>0.6437</v>
      </c>
    </row>
    <row r="61" spans="1:6" ht="31.5" customHeight="1">
      <c r="A61" s="30" t="s">
        <v>30</v>
      </c>
      <c r="B61" s="39" t="s">
        <v>55</v>
      </c>
      <c r="C61" s="75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242250</v>
      </c>
      <c r="D61" s="75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171275</v>
      </c>
      <c r="E61" s="75">
        <f t="shared" si="0"/>
        <v>-70975</v>
      </c>
      <c r="F61" s="93">
        <f t="shared" si="1"/>
        <v>0.707</v>
      </c>
    </row>
    <row r="62" spans="1:6" ht="31.5" customHeight="1">
      <c r="A62" s="30" t="s">
        <v>31</v>
      </c>
      <c r="B62" s="39" t="s">
        <v>103</v>
      </c>
      <c r="C62" s="75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0</v>
      </c>
      <c r="D62" s="75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5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32210</v>
      </c>
      <c r="D63" s="75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39548</v>
      </c>
      <c r="E63" s="75">
        <f t="shared" si="0"/>
        <v>7338</v>
      </c>
      <c r="F63" s="93">
        <f t="shared" si="1"/>
        <v>1.2278</v>
      </c>
    </row>
    <row r="64" spans="1:6" ht="32.25" customHeight="1">
      <c r="A64" s="32" t="s">
        <v>109</v>
      </c>
      <c r="B64" s="44" t="s">
        <v>128</v>
      </c>
      <c r="C64" s="80">
        <f>Dolnośląski!C64+KujawskoPomorski!C64+Lubelski!C64+Lubuski!C64+Łódzki!C64+Małopolski!C64+Mazowiecki!C64+Opolski!C64+Podkarpacki!C64+Podlaski!C64+Pomorski!C64+Śląski!C64+Świętokrzyski!C64+WarmińskoMazurski!C64+Wielkopolski!C64+Zachodniopomorski!C64</f>
        <v>76878</v>
      </c>
      <c r="D64" s="80">
        <f>Dolnośląski!D64+KujawskoPomorski!D64+Lubelski!D64+Lubuski!D64+Łódzki!D64+Małopolski!D64+Mazowiecki!D64+Opolski!D64+Podkarpacki!D64+Podlaski!D64+Pomorski!D64+Śląski!D64+Świętokrzyski!D64+WarmińskoMazurski!D64+Wielkopolski!D64+Zachodniopomorski!D64</f>
        <v>74258</v>
      </c>
      <c r="E64" s="12">
        <f t="shared" si="0"/>
        <v>-2620</v>
      </c>
      <c r="F64" s="97">
        <f t="shared" si="1"/>
        <v>0.9659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  <ignoredErrors>
    <ignoredError sqref="C57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C7" sqref="C7:C98"/>
      <selection pane="bottomLef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61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4840788</v>
      </c>
      <c r="D7" s="15">
        <f>D8+D9+D10+D15+D16+D17+D18+D19+D20+D21+D22+D23+D24+D25+D29+D30+D32+D33</f>
        <v>4845795</v>
      </c>
      <c r="E7" s="12">
        <f>IF(C7=D7,"-",D7-C7)</f>
        <v>5007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580515</v>
      </c>
      <c r="D8" s="24">
        <f>C8</f>
        <v>580515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419190</v>
      </c>
      <c r="D9" s="24">
        <f aca="true" t="shared" si="2" ref="D9:D34">C9</f>
        <v>419190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2343664</v>
      </c>
      <c r="D10" s="24">
        <f t="shared" si="2"/>
        <v>2343664</v>
      </c>
      <c r="E10" s="92" t="str">
        <f t="shared" si="0"/>
        <v>-</v>
      </c>
      <c r="F10" s="93">
        <f t="shared" si="1"/>
        <v>1</v>
      </c>
    </row>
    <row r="11" spans="1:6" ht="31.5" customHeight="1">
      <c r="A11" s="27" t="s">
        <v>56</v>
      </c>
      <c r="B11" s="33" t="s">
        <v>159</v>
      </c>
      <c r="C11" s="78">
        <v>207837</v>
      </c>
      <c r="D11" s="24">
        <f t="shared" si="2"/>
        <v>207837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192654</v>
      </c>
      <c r="D12" s="24">
        <f t="shared" si="2"/>
        <v>192654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108496</v>
      </c>
      <c r="D13" s="24">
        <f t="shared" si="2"/>
        <v>108496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43319</v>
      </c>
      <c r="D14" s="24">
        <f t="shared" si="2"/>
        <v>43319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183918</v>
      </c>
      <c r="D15" s="24">
        <f t="shared" si="2"/>
        <v>183918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159755</v>
      </c>
      <c r="D16" s="24">
        <f t="shared" si="2"/>
        <v>159755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91519</v>
      </c>
      <c r="D17" s="24">
        <f>C17+1807</f>
        <v>93326</v>
      </c>
      <c r="E17" s="92">
        <f t="shared" si="0"/>
        <v>1807</v>
      </c>
      <c r="F17" s="93">
        <f t="shared" si="1"/>
        <v>1.0197</v>
      </c>
    </row>
    <row r="18" spans="1:6" ht="33" customHeight="1">
      <c r="A18" s="28" t="s">
        <v>7</v>
      </c>
      <c r="B18" s="34" t="s">
        <v>139</v>
      </c>
      <c r="C18" s="78">
        <v>29132</v>
      </c>
      <c r="D18" s="24">
        <f>C18+3200</f>
        <v>32332</v>
      </c>
      <c r="E18" s="92">
        <f t="shared" si="0"/>
        <v>3200</v>
      </c>
      <c r="F18" s="93">
        <f t="shared" si="1"/>
        <v>1.1098</v>
      </c>
    </row>
    <row r="19" spans="1:6" ht="33" customHeight="1">
      <c r="A19" s="28" t="s">
        <v>8</v>
      </c>
      <c r="B19" s="34" t="s">
        <v>135</v>
      </c>
      <c r="C19" s="78">
        <v>118510</v>
      </c>
      <c r="D19" s="24">
        <f t="shared" si="2"/>
        <v>118510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60647</v>
      </c>
      <c r="D20" s="24">
        <f t="shared" si="2"/>
        <v>60647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4201</v>
      </c>
      <c r="D21" s="24">
        <f t="shared" si="2"/>
        <v>4201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13513</v>
      </c>
      <c r="D22" s="24">
        <f t="shared" si="2"/>
        <v>13513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127348</v>
      </c>
      <c r="D23" s="24">
        <f t="shared" si="2"/>
        <v>127348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71300</v>
      </c>
      <c r="D24" s="24">
        <f t="shared" si="2"/>
        <v>71300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604339</v>
      </c>
      <c r="D25" s="78">
        <f>SUM(D26:D28)</f>
        <v>604339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602339</v>
      </c>
      <c r="D26" s="24">
        <f t="shared" si="2"/>
        <v>602339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1000</v>
      </c>
      <c r="D27" s="24">
        <f t="shared" si="2"/>
        <v>1000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1000</v>
      </c>
      <c r="D28" s="24">
        <f t="shared" si="2"/>
        <v>1000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33237</v>
      </c>
      <c r="D33" s="24">
        <f t="shared" si="2"/>
        <v>33237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139228</v>
      </c>
      <c r="D36" s="89">
        <f>C36</f>
        <v>139228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840312</v>
      </c>
      <c r="D37" s="81">
        <f>D12+D14+D25+D31</f>
        <v>840312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38684</v>
      </c>
      <c r="D38" s="23">
        <f>D39+D40+D41+D49+D51+D57+D58+D56</f>
        <v>38684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1732</v>
      </c>
      <c r="D39" s="82">
        <f>C39</f>
        <v>1732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4111</v>
      </c>
      <c r="D40" s="82">
        <f>C40</f>
        <v>4111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645</v>
      </c>
      <c r="D41" s="82">
        <f>D42+D44+D45+D46+D47+D48</f>
        <v>645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91</v>
      </c>
      <c r="D42" s="82">
        <f>C42</f>
        <v>91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67</v>
      </c>
      <c r="D43" s="82">
        <f aca="true" t="shared" si="3" ref="D43:D55">C43</f>
        <v>67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68</v>
      </c>
      <c r="D44" s="82">
        <f t="shared" si="3"/>
        <v>68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1</v>
      </c>
      <c r="D45" s="82">
        <f t="shared" si="3"/>
        <v>1</v>
      </c>
      <c r="E45" s="92" t="str">
        <f t="shared" si="0"/>
        <v>-</v>
      </c>
      <c r="F45" s="93">
        <f t="shared" si="1"/>
        <v>1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484</v>
      </c>
      <c r="D47" s="82">
        <f t="shared" si="3"/>
        <v>484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1</v>
      </c>
      <c r="D48" s="82">
        <f>C48</f>
        <v>1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20213</v>
      </c>
      <c r="D49" s="82">
        <f>C49</f>
        <v>20213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120</v>
      </c>
      <c r="D50" s="82">
        <f>C50</f>
        <v>120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4482</v>
      </c>
      <c r="D51" s="75">
        <f>D52+D53+D54+D55</f>
        <v>4482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3345</v>
      </c>
      <c r="D52" s="82">
        <f t="shared" si="3"/>
        <v>3345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495</v>
      </c>
      <c r="D53" s="82">
        <f t="shared" si="3"/>
        <v>495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642</v>
      </c>
      <c r="D55" s="82">
        <f t="shared" si="3"/>
        <v>642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7170</v>
      </c>
      <c r="D57" s="82">
        <f>C57</f>
        <v>7170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331</v>
      </c>
      <c r="D58" s="82">
        <f>C58</f>
        <v>331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14731</v>
      </c>
      <c r="D59" s="26">
        <f>D60+D61+D62+D63</f>
        <v>11822</v>
      </c>
      <c r="E59" s="12">
        <f t="shared" si="0"/>
        <v>-2909</v>
      </c>
      <c r="F59" s="97">
        <f t="shared" si="1"/>
        <v>0.8025</v>
      </c>
    </row>
    <row r="60" spans="1:6" ht="42" customHeight="1">
      <c r="A60" s="30" t="s">
        <v>101</v>
      </c>
      <c r="B60" s="39" t="s">
        <v>123</v>
      </c>
      <c r="C60" s="78">
        <v>20</v>
      </c>
      <c r="D60" s="82">
        <f>C60</f>
        <v>20</v>
      </c>
      <c r="E60" s="75" t="str">
        <f t="shared" si="0"/>
        <v>-</v>
      </c>
      <c r="F60" s="93">
        <f t="shared" si="1"/>
        <v>1</v>
      </c>
    </row>
    <row r="61" spans="1:6" ht="31.5" customHeight="1">
      <c r="A61" s="30" t="s">
        <v>30</v>
      </c>
      <c r="B61" s="39" t="s">
        <v>55</v>
      </c>
      <c r="C61" s="78">
        <v>13711</v>
      </c>
      <c r="D61" s="82">
        <f>C61-7908</f>
        <v>5803</v>
      </c>
      <c r="E61" s="75">
        <f t="shared" si="0"/>
        <v>-7908</v>
      </c>
      <c r="F61" s="93">
        <f t="shared" si="1"/>
        <v>0.4232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1000</v>
      </c>
      <c r="D63" s="82">
        <f>C63+4999</f>
        <v>5999</v>
      </c>
      <c r="E63" s="75">
        <f t="shared" si="0"/>
        <v>4999</v>
      </c>
      <c r="F63" s="93">
        <f t="shared" si="1"/>
        <v>5.999</v>
      </c>
    </row>
    <row r="64" spans="1:6" ht="32.25" customHeight="1">
      <c r="A64" s="32" t="s">
        <v>109</v>
      </c>
      <c r="B64" s="44" t="s">
        <v>128</v>
      </c>
      <c r="C64" s="26">
        <v>1981</v>
      </c>
      <c r="D64" s="26">
        <f>C64+1311</f>
        <v>3292</v>
      </c>
      <c r="E64" s="12">
        <f t="shared" si="0"/>
        <v>1311</v>
      </c>
      <c r="F64" s="97">
        <f t="shared" si="1"/>
        <v>1.6618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C4:C5"/>
    <mergeCell ref="A4:A5"/>
    <mergeCell ref="B4:B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62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3467588</v>
      </c>
      <c r="D7" s="15">
        <f>D8+D9+D10+D15+D16+D17+D18+D19+D20+D21+D22+D23+D24+D25+D29+D30+D32+D33</f>
        <v>3471200</v>
      </c>
      <c r="E7" s="12">
        <f>IF(C7=D7,"-",D7-C7)</f>
        <v>3612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422358</v>
      </c>
      <c r="D8" s="24">
        <f>C8</f>
        <v>422358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279950</v>
      </c>
      <c r="D9" s="24">
        <f aca="true" t="shared" si="2" ref="D9:D34">C9</f>
        <v>279950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1741617</v>
      </c>
      <c r="D10" s="24">
        <f>C10+3612</f>
        <v>1745229</v>
      </c>
      <c r="E10" s="92">
        <f t="shared" si="0"/>
        <v>3612</v>
      </c>
      <c r="F10" s="93">
        <f t="shared" si="1"/>
        <v>1.0021</v>
      </c>
    </row>
    <row r="11" spans="1:6" ht="31.5" customHeight="1">
      <c r="A11" s="27" t="s">
        <v>56</v>
      </c>
      <c r="B11" s="33" t="s">
        <v>159</v>
      </c>
      <c r="C11" s="78">
        <v>149322</v>
      </c>
      <c r="D11" s="24">
        <f t="shared" si="2"/>
        <v>149322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136709</v>
      </c>
      <c r="D12" s="24">
        <f t="shared" si="2"/>
        <v>136709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77303</v>
      </c>
      <c r="D13" s="24">
        <f t="shared" si="2"/>
        <v>77303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37194</v>
      </c>
      <c r="D14" s="24">
        <f t="shared" si="2"/>
        <v>37194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116758</v>
      </c>
      <c r="D15" s="24">
        <f t="shared" si="2"/>
        <v>116758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87616</v>
      </c>
      <c r="D16" s="24">
        <f t="shared" si="2"/>
        <v>87616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47625</v>
      </c>
      <c r="D17" s="24">
        <f t="shared" si="2"/>
        <v>47625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26738</v>
      </c>
      <c r="D18" s="24">
        <f t="shared" si="2"/>
        <v>26738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92665</v>
      </c>
      <c r="D19" s="24">
        <f t="shared" si="2"/>
        <v>92665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32167</v>
      </c>
      <c r="D20" s="24">
        <f t="shared" si="2"/>
        <v>32167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2593</v>
      </c>
      <c r="D21" s="24">
        <f t="shared" si="2"/>
        <v>2593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11753</v>
      </c>
      <c r="D22" s="24">
        <f t="shared" si="2"/>
        <v>11753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106204</v>
      </c>
      <c r="D23" s="24">
        <f t="shared" si="2"/>
        <v>106204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42500</v>
      </c>
      <c r="D24" s="24">
        <f t="shared" si="2"/>
        <v>42500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451708</v>
      </c>
      <c r="D25" s="78">
        <f>SUM(D26:D28)</f>
        <v>451708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450895</v>
      </c>
      <c r="D26" s="24">
        <f t="shared" si="2"/>
        <v>450895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550</v>
      </c>
      <c r="D27" s="24">
        <f t="shared" si="2"/>
        <v>550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263</v>
      </c>
      <c r="D28" s="24">
        <f t="shared" si="2"/>
        <v>263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5336</v>
      </c>
      <c r="D33" s="24">
        <f t="shared" si="2"/>
        <v>5336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109526</v>
      </c>
      <c r="D36" s="89">
        <f>C36</f>
        <v>109526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625611</v>
      </c>
      <c r="D37" s="81">
        <f>D12+D14+D25+D31</f>
        <v>625611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24357</v>
      </c>
      <c r="D38" s="23">
        <f>D39+D40+D41+D49+D51+D57+D58+D56</f>
        <v>24357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1223</v>
      </c>
      <c r="D39" s="82">
        <f>C39</f>
        <v>1223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3299</v>
      </c>
      <c r="D40" s="82">
        <f>C40</f>
        <v>3299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181</v>
      </c>
      <c r="D41" s="82">
        <f>D42+D44+D45+D46+D47+D48</f>
        <v>181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43</v>
      </c>
      <c r="D42" s="82">
        <f>C42</f>
        <v>43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43</v>
      </c>
      <c r="D43" s="82">
        <f aca="true" t="shared" si="3" ref="D43:D55">C43</f>
        <v>43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13</v>
      </c>
      <c r="D44" s="82">
        <f t="shared" si="3"/>
        <v>13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120</v>
      </c>
      <c r="D47" s="82">
        <f t="shared" si="3"/>
        <v>120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5</v>
      </c>
      <c r="D48" s="82">
        <f>C48</f>
        <v>5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14287</v>
      </c>
      <c r="D49" s="82">
        <f>C49</f>
        <v>14287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20</v>
      </c>
      <c r="D50" s="82">
        <f>C50</f>
        <v>20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3168</v>
      </c>
      <c r="D51" s="75">
        <f>D52+D53+D54+D55</f>
        <v>3168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2343</v>
      </c>
      <c r="D52" s="82">
        <f t="shared" si="3"/>
        <v>2343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271</v>
      </c>
      <c r="D53" s="82">
        <f t="shared" si="3"/>
        <v>271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554</v>
      </c>
      <c r="D55" s="82">
        <f t="shared" si="3"/>
        <v>554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1606</v>
      </c>
      <c r="D57" s="82">
        <f>C57</f>
        <v>1606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593</v>
      </c>
      <c r="D58" s="82">
        <f>C58</f>
        <v>593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51462</v>
      </c>
      <c r="D59" s="26">
        <f>D60+D61+D62+D63</f>
        <v>39080</v>
      </c>
      <c r="E59" s="12">
        <f t="shared" si="0"/>
        <v>-12382</v>
      </c>
      <c r="F59" s="97">
        <f t="shared" si="1"/>
        <v>0.7594</v>
      </c>
    </row>
    <row r="60" spans="1:6" ht="42" customHeight="1">
      <c r="A60" s="30" t="s">
        <v>101</v>
      </c>
      <c r="B60" s="39" t="s">
        <v>123</v>
      </c>
      <c r="C60" s="78">
        <v>0</v>
      </c>
      <c r="D60" s="82">
        <f>C60</f>
        <v>0</v>
      </c>
      <c r="E60" s="75" t="str">
        <f t="shared" si="0"/>
        <v>-</v>
      </c>
      <c r="F60" s="93" t="str">
        <f t="shared" si="1"/>
        <v>-</v>
      </c>
    </row>
    <row r="61" spans="1:6" ht="31.5" customHeight="1">
      <c r="A61" s="30" t="s">
        <v>30</v>
      </c>
      <c r="B61" s="39" t="s">
        <v>55</v>
      </c>
      <c r="C61" s="78">
        <v>49717</v>
      </c>
      <c r="D61" s="82">
        <f>C61-11206</f>
        <v>38511</v>
      </c>
      <c r="E61" s="75">
        <f t="shared" si="0"/>
        <v>-11206</v>
      </c>
      <c r="F61" s="93">
        <f t="shared" si="1"/>
        <v>0.7746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1745</v>
      </c>
      <c r="D63" s="82">
        <f>C63-1176</f>
        <v>569</v>
      </c>
      <c r="E63" s="75">
        <f t="shared" si="0"/>
        <v>-1176</v>
      </c>
      <c r="F63" s="93">
        <f t="shared" si="1"/>
        <v>0.3261</v>
      </c>
    </row>
    <row r="64" spans="1:6" ht="32.25" customHeight="1">
      <c r="A64" s="32" t="s">
        <v>109</v>
      </c>
      <c r="B64" s="44" t="s">
        <v>128</v>
      </c>
      <c r="C64" s="26">
        <v>31682</v>
      </c>
      <c r="D64" s="26">
        <f>C64-17599</f>
        <v>14083</v>
      </c>
      <c r="E64" s="12">
        <f t="shared" si="0"/>
        <v>-17599</v>
      </c>
      <c r="F64" s="97">
        <f t="shared" si="1"/>
        <v>0.4445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63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3600256</v>
      </c>
      <c r="D7" s="15">
        <f>D8+D9+D10+D15+D16+D17+D18+D19+D20+D21+D22+D23+D24+D25+D29+D30+D32+D33</f>
        <v>3604062</v>
      </c>
      <c r="E7" s="12">
        <f>IF(C7=D7,"-",D7-C7)</f>
        <v>3806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447000</v>
      </c>
      <c r="D8" s="24">
        <f>C8</f>
        <v>447000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289698</v>
      </c>
      <c r="D9" s="24">
        <f aca="true" t="shared" si="2" ref="D9:D34">C9</f>
        <v>289698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1765736</v>
      </c>
      <c r="D10" s="24">
        <f>C10+3806</f>
        <v>1769542</v>
      </c>
      <c r="E10" s="92">
        <f t="shared" si="0"/>
        <v>3806</v>
      </c>
      <c r="F10" s="93">
        <f t="shared" si="1"/>
        <v>1.0022</v>
      </c>
    </row>
    <row r="11" spans="1:6" ht="31.5" customHeight="1">
      <c r="A11" s="27" t="s">
        <v>56</v>
      </c>
      <c r="B11" s="33" t="s">
        <v>159</v>
      </c>
      <c r="C11" s="78">
        <v>135559</v>
      </c>
      <c r="D11" s="24">
        <f t="shared" si="2"/>
        <v>135559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123478</v>
      </c>
      <c r="D12" s="24">
        <f t="shared" si="2"/>
        <v>123478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79444</v>
      </c>
      <c r="D13" s="24">
        <f t="shared" si="2"/>
        <v>79444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31219</v>
      </c>
      <c r="D14" s="24">
        <f t="shared" si="2"/>
        <v>31219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130267</v>
      </c>
      <c r="D15" s="24">
        <f t="shared" si="2"/>
        <v>130267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110548</v>
      </c>
      <c r="D16" s="24">
        <f t="shared" si="2"/>
        <v>110548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54449</v>
      </c>
      <c r="D17" s="24">
        <f t="shared" si="2"/>
        <v>54449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15279</v>
      </c>
      <c r="D18" s="24">
        <f t="shared" si="2"/>
        <v>15279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122503</v>
      </c>
      <c r="D19" s="24">
        <f t="shared" si="2"/>
        <v>122503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39960</v>
      </c>
      <c r="D20" s="24">
        <f t="shared" si="2"/>
        <v>39960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3200</v>
      </c>
      <c r="D21" s="24">
        <f t="shared" si="2"/>
        <v>3200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8570</v>
      </c>
      <c r="D22" s="24">
        <f t="shared" si="2"/>
        <v>8570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90697</v>
      </c>
      <c r="D23" s="24">
        <f t="shared" si="2"/>
        <v>90697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43000</v>
      </c>
      <c r="D24" s="24">
        <f t="shared" si="2"/>
        <v>43000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24">
        <f>SUM(C26:C28)</f>
        <v>445249</v>
      </c>
      <c r="D25" s="24">
        <f>SUM(D26:D28)</f>
        <v>445249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443049</v>
      </c>
      <c r="D26" s="24">
        <f t="shared" si="2"/>
        <v>443049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2000</v>
      </c>
      <c r="D27" s="24">
        <f t="shared" si="2"/>
        <v>2000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200</v>
      </c>
      <c r="D28" s="24">
        <f t="shared" si="2"/>
        <v>200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34100</v>
      </c>
      <c r="D33" s="24">
        <f t="shared" si="2"/>
        <v>34100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112868</v>
      </c>
      <c r="D36" s="89">
        <f>C36</f>
        <v>112868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599946</v>
      </c>
      <c r="D37" s="81">
        <f>D12+D14+D25+D31</f>
        <v>599946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24472</v>
      </c>
      <c r="D38" s="23">
        <f>D39+D40+D41+D49+D51+D57+D58+D56</f>
        <v>24472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1010</v>
      </c>
      <c r="D39" s="82">
        <f>C39</f>
        <v>1010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2988</v>
      </c>
      <c r="D40" s="82">
        <f>C40</f>
        <v>2988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242</v>
      </c>
      <c r="D41" s="82">
        <f>D42+D44+D45+D46+D47+D48</f>
        <v>242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29</v>
      </c>
      <c r="D42" s="82">
        <f>C42</f>
        <v>29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29</v>
      </c>
      <c r="D43" s="82">
        <f aca="true" t="shared" si="3" ref="D43:D55">C43</f>
        <v>29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0</v>
      </c>
      <c r="D44" s="82">
        <f t="shared" si="3"/>
        <v>0</v>
      </c>
      <c r="E44" s="92" t="str">
        <f t="shared" si="0"/>
        <v>-</v>
      </c>
      <c r="F44" s="93" t="str">
        <f t="shared" si="1"/>
        <v>-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203</v>
      </c>
      <c r="D47" s="82">
        <f t="shared" si="3"/>
        <v>203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10</v>
      </c>
      <c r="D48" s="82">
        <f>C48</f>
        <v>10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14925</v>
      </c>
      <c r="D49" s="82">
        <f>C49</f>
        <v>14925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144</v>
      </c>
      <c r="D50" s="82">
        <f>C50</f>
        <v>144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3307</v>
      </c>
      <c r="D51" s="75">
        <f>D52+D53+D54+D55</f>
        <v>3307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2566</v>
      </c>
      <c r="D52" s="82">
        <f t="shared" si="3"/>
        <v>2566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365</v>
      </c>
      <c r="D53" s="82">
        <f t="shared" si="3"/>
        <v>365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376</v>
      </c>
      <c r="D55" s="82">
        <f t="shared" si="3"/>
        <v>376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1722</v>
      </c>
      <c r="D57" s="82">
        <f>C57</f>
        <v>1722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278</v>
      </c>
      <c r="D58" s="82">
        <f>C58</f>
        <v>278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28948</v>
      </c>
      <c r="D59" s="26">
        <f>D60+D61+D62+D63</f>
        <v>28943</v>
      </c>
      <c r="E59" s="12">
        <f t="shared" si="0"/>
        <v>-5</v>
      </c>
      <c r="F59" s="97">
        <f t="shared" si="1"/>
        <v>0.9998</v>
      </c>
    </row>
    <row r="60" spans="1:6" ht="42" customHeight="1">
      <c r="A60" s="30" t="s">
        <v>101</v>
      </c>
      <c r="B60" s="39" t="s">
        <v>123</v>
      </c>
      <c r="C60" s="78">
        <v>5</v>
      </c>
      <c r="D60" s="82">
        <f>C60-5</f>
        <v>0</v>
      </c>
      <c r="E60" s="75">
        <f t="shared" si="0"/>
        <v>-5</v>
      </c>
      <c r="F60" s="93">
        <f t="shared" si="1"/>
        <v>0</v>
      </c>
    </row>
    <row r="61" spans="1:6" ht="31.5" customHeight="1">
      <c r="A61" s="30" t="s">
        <v>30</v>
      </c>
      <c r="B61" s="39" t="s">
        <v>55</v>
      </c>
      <c r="C61" s="78">
        <v>27443</v>
      </c>
      <c r="D61" s="82">
        <f>C61</f>
        <v>27443</v>
      </c>
      <c r="E61" s="75" t="str">
        <f t="shared" si="0"/>
        <v>-</v>
      </c>
      <c r="F61" s="93">
        <f t="shared" si="1"/>
        <v>1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1500</v>
      </c>
      <c r="D63" s="82">
        <f>C63</f>
        <v>1500</v>
      </c>
      <c r="E63" s="75" t="str">
        <f t="shared" si="0"/>
        <v>-</v>
      </c>
      <c r="F63" s="93">
        <f t="shared" si="1"/>
        <v>1</v>
      </c>
    </row>
    <row r="64" spans="1:6" ht="32.25" customHeight="1">
      <c r="A64" s="32" t="s">
        <v>109</v>
      </c>
      <c r="B64" s="44" t="s">
        <v>128</v>
      </c>
      <c r="C64" s="26">
        <v>594</v>
      </c>
      <c r="D64" s="26">
        <f>C64</f>
        <v>594</v>
      </c>
      <c r="E64" s="12" t="str">
        <f t="shared" si="0"/>
        <v>-</v>
      </c>
      <c r="F64" s="97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3.00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64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1687201</v>
      </c>
      <c r="D7" s="15">
        <f>D8+D9+D10+D15+D16+D17+D18+D19+D20+D21+D22+D23+D24+D25+D29+D30+D32+D33</f>
        <v>1688938</v>
      </c>
      <c r="E7" s="12">
        <f>IF(C7=D7,"-",D7-C7)</f>
        <v>1737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208150</v>
      </c>
      <c r="D8" s="24">
        <f>C8</f>
        <v>208150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159286</v>
      </c>
      <c r="D9" s="24">
        <f aca="true" t="shared" si="2" ref="D9:D34">C9</f>
        <v>159286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814903</v>
      </c>
      <c r="D10" s="24">
        <f>C10+1737</f>
        <v>816640</v>
      </c>
      <c r="E10" s="92">
        <f t="shared" si="0"/>
        <v>1737</v>
      </c>
      <c r="F10" s="93">
        <f t="shared" si="1"/>
        <v>1.0021</v>
      </c>
    </row>
    <row r="11" spans="1:6" ht="31.5" customHeight="1">
      <c r="A11" s="27" t="s">
        <v>56</v>
      </c>
      <c r="B11" s="33" t="s">
        <v>159</v>
      </c>
      <c r="C11" s="78">
        <v>60221</v>
      </c>
      <c r="D11" s="24">
        <f t="shared" si="2"/>
        <v>60221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54502</v>
      </c>
      <c r="D12" s="24">
        <f t="shared" si="2"/>
        <v>54502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38580</v>
      </c>
      <c r="D13" s="24">
        <f t="shared" si="2"/>
        <v>38580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11501</v>
      </c>
      <c r="D14" s="24">
        <f t="shared" si="2"/>
        <v>11501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85984</v>
      </c>
      <c r="D15" s="24">
        <f t="shared" si="2"/>
        <v>85984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52539</v>
      </c>
      <c r="D16" s="24">
        <f t="shared" si="2"/>
        <v>52539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22099</v>
      </c>
      <c r="D17" s="24">
        <f t="shared" si="2"/>
        <v>22099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10006</v>
      </c>
      <c r="D18" s="24">
        <f t="shared" si="2"/>
        <v>10006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42848</v>
      </c>
      <c r="D19" s="24">
        <f t="shared" si="2"/>
        <v>42848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13700</v>
      </c>
      <c r="D20" s="24">
        <f t="shared" si="2"/>
        <v>13700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1927</v>
      </c>
      <c r="D21" s="24">
        <f t="shared" si="2"/>
        <v>1927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5431</v>
      </c>
      <c r="D22" s="24">
        <f t="shared" si="2"/>
        <v>5431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44699</v>
      </c>
      <c r="D23" s="24">
        <f t="shared" si="2"/>
        <v>44699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26000</v>
      </c>
      <c r="D24" s="24">
        <f t="shared" si="2"/>
        <v>26000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24">
        <f>SUM(C26:C28)</f>
        <v>188461</v>
      </c>
      <c r="D25" s="24">
        <f>SUM(D26:D28)</f>
        <v>188461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188161</v>
      </c>
      <c r="D26" s="24">
        <f t="shared" si="2"/>
        <v>188161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200</v>
      </c>
      <c r="D27" s="24">
        <f t="shared" si="2"/>
        <v>200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100</v>
      </c>
      <c r="D28" s="24">
        <f t="shared" si="2"/>
        <v>100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11168</v>
      </c>
      <c r="D33" s="24">
        <f t="shared" si="2"/>
        <v>11168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105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65344</v>
      </c>
      <c r="D36" s="89">
        <f>C36</f>
        <v>65344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254464</v>
      </c>
      <c r="D37" s="81">
        <f>D12+D14+D25+D31</f>
        <v>254464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15942</v>
      </c>
      <c r="D38" s="23">
        <f>D39+D40+D41+D49+D51+D57+D58+D56</f>
        <v>15942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704</v>
      </c>
      <c r="D39" s="82">
        <f>C39</f>
        <v>704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2676</v>
      </c>
      <c r="D40" s="82">
        <f>C40</f>
        <v>2676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168</v>
      </c>
      <c r="D41" s="82">
        <f>D42+D44+D45+D46+D47+D48</f>
        <v>168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30</v>
      </c>
      <c r="D42" s="82">
        <f>C42</f>
        <v>30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30</v>
      </c>
      <c r="D43" s="82">
        <f aca="true" t="shared" si="3" ref="D43:D55">C43</f>
        <v>30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0</v>
      </c>
      <c r="D44" s="82">
        <f t="shared" si="3"/>
        <v>0</v>
      </c>
      <c r="E44" s="92" t="str">
        <f t="shared" si="0"/>
        <v>-</v>
      </c>
      <c r="F44" s="93" t="str">
        <f t="shared" si="1"/>
        <v>-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114</v>
      </c>
      <c r="D47" s="82">
        <f t="shared" si="3"/>
        <v>114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24</v>
      </c>
      <c r="D48" s="82">
        <f>C48</f>
        <v>24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8273</v>
      </c>
      <c r="D49" s="82">
        <f>C49</f>
        <v>8273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43</v>
      </c>
      <c r="D50" s="82">
        <f>C50</f>
        <v>43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1836</v>
      </c>
      <c r="D51" s="75">
        <f>D52+D53+D54+D55</f>
        <v>1836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1422</v>
      </c>
      <c r="D52" s="82">
        <f t="shared" si="3"/>
        <v>1422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203</v>
      </c>
      <c r="D53" s="82">
        <f t="shared" si="3"/>
        <v>203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211</v>
      </c>
      <c r="D55" s="82">
        <f t="shared" si="3"/>
        <v>211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2000</v>
      </c>
      <c r="D57" s="82">
        <f>C57</f>
        <v>2000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285</v>
      </c>
      <c r="D58" s="82">
        <f>C58</f>
        <v>285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4677</v>
      </c>
      <c r="D59" s="26">
        <f>D60+D61+D62+D63</f>
        <v>4100</v>
      </c>
      <c r="E59" s="12">
        <f t="shared" si="0"/>
        <v>-577</v>
      </c>
      <c r="F59" s="97">
        <f t="shared" si="1"/>
        <v>0.8766</v>
      </c>
    </row>
    <row r="60" spans="1:6" ht="42" customHeight="1">
      <c r="A60" s="30" t="s">
        <v>101</v>
      </c>
      <c r="B60" s="39" t="s">
        <v>123</v>
      </c>
      <c r="C60" s="78">
        <v>0</v>
      </c>
      <c r="D60" s="82">
        <f>C60</f>
        <v>0</v>
      </c>
      <c r="E60" s="75" t="str">
        <f t="shared" si="0"/>
        <v>-</v>
      </c>
      <c r="F60" s="93" t="str">
        <f t="shared" si="1"/>
        <v>-</v>
      </c>
    </row>
    <row r="61" spans="1:6" ht="31.5" customHeight="1">
      <c r="A61" s="30" t="s">
        <v>30</v>
      </c>
      <c r="B61" s="39" t="s">
        <v>55</v>
      </c>
      <c r="C61" s="78">
        <v>4127</v>
      </c>
      <c r="D61" s="82">
        <f>C61-527</f>
        <v>3600</v>
      </c>
      <c r="E61" s="75">
        <f t="shared" si="0"/>
        <v>-527</v>
      </c>
      <c r="F61" s="93">
        <f t="shared" si="1"/>
        <v>0.8723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550</v>
      </c>
      <c r="D63" s="82">
        <f>C63-50</f>
        <v>500</v>
      </c>
      <c r="E63" s="75">
        <f t="shared" si="0"/>
        <v>-50</v>
      </c>
      <c r="F63" s="93">
        <f t="shared" si="1"/>
        <v>0.9091</v>
      </c>
    </row>
    <row r="64" spans="1:6" ht="32.25" customHeight="1">
      <c r="A64" s="32" t="s">
        <v>109</v>
      </c>
      <c r="B64" s="44" t="s">
        <v>128</v>
      </c>
      <c r="C64" s="26">
        <v>750</v>
      </c>
      <c r="D64" s="26">
        <f>C64+700</f>
        <v>1450</v>
      </c>
      <c r="E64" s="12">
        <f t="shared" si="0"/>
        <v>700</v>
      </c>
      <c r="F64" s="97">
        <f t="shared" si="1"/>
        <v>1.9333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0.7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65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4322152</v>
      </c>
      <c r="D7" s="15">
        <f>D8+D9+D10+D15+D16+D17+D18+D19+D20+D21+D22+D23+D24+D25+D29+D30+D32+D33</f>
        <v>4326729</v>
      </c>
      <c r="E7" s="12">
        <f>IF(C7=D7,"-",D7-C7)</f>
        <v>4577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517799</v>
      </c>
      <c r="D8" s="24">
        <f>C8</f>
        <v>517799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329435</v>
      </c>
      <c r="D9" s="24">
        <f aca="true" t="shared" si="2" ref="D9:D34">C9</f>
        <v>329435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2124325</v>
      </c>
      <c r="D10" s="24">
        <f>C10+2060</f>
        <v>2126385</v>
      </c>
      <c r="E10" s="92">
        <f t="shared" si="0"/>
        <v>2060</v>
      </c>
      <c r="F10" s="93">
        <f t="shared" si="1"/>
        <v>1.001</v>
      </c>
    </row>
    <row r="11" spans="1:6" ht="31.5" customHeight="1">
      <c r="A11" s="27" t="s">
        <v>56</v>
      </c>
      <c r="B11" s="33" t="s">
        <v>159</v>
      </c>
      <c r="C11" s="78">
        <v>183106</v>
      </c>
      <c r="D11" s="24">
        <f t="shared" si="2"/>
        <v>183106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167944</v>
      </c>
      <c r="D12" s="24">
        <f t="shared" si="2"/>
        <v>167944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79678</v>
      </c>
      <c r="D13" s="24">
        <f t="shared" si="2"/>
        <v>79678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30260</v>
      </c>
      <c r="D14" s="24">
        <f t="shared" si="2"/>
        <v>30260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155830</v>
      </c>
      <c r="D15" s="24">
        <f t="shared" si="2"/>
        <v>155830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125267</v>
      </c>
      <c r="D16" s="24">
        <f t="shared" si="2"/>
        <v>125267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53278</v>
      </c>
      <c r="D17" s="24">
        <f t="shared" si="2"/>
        <v>53278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22630</v>
      </c>
      <c r="D18" s="24">
        <f t="shared" si="2"/>
        <v>22630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117974</v>
      </c>
      <c r="D19" s="24">
        <f t="shared" si="2"/>
        <v>117974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42978</v>
      </c>
      <c r="D20" s="24">
        <f t="shared" si="2"/>
        <v>42978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2350</v>
      </c>
      <c r="D21" s="24">
        <f t="shared" si="2"/>
        <v>2350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11032</v>
      </c>
      <c r="D22" s="24">
        <f t="shared" si="2"/>
        <v>11032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109265</v>
      </c>
      <c r="D23" s="24">
        <f>C23+2517</f>
        <v>111782</v>
      </c>
      <c r="E23" s="92">
        <f t="shared" si="0"/>
        <v>2517</v>
      </c>
      <c r="F23" s="93">
        <f t="shared" si="1"/>
        <v>1.023</v>
      </c>
    </row>
    <row r="24" spans="1:6" ht="33" customHeight="1">
      <c r="A24" s="28" t="s">
        <v>13</v>
      </c>
      <c r="B24" s="34" t="s">
        <v>166</v>
      </c>
      <c r="C24" s="78">
        <v>56081</v>
      </c>
      <c r="D24" s="24">
        <f t="shared" si="2"/>
        <v>56081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594782</v>
      </c>
      <c r="D25" s="78">
        <f>SUM(D26:D28)</f>
        <v>594782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592782</v>
      </c>
      <c r="D26" s="24">
        <f t="shared" si="2"/>
        <v>592782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1400</v>
      </c>
      <c r="D27" s="24">
        <f t="shared" si="2"/>
        <v>1400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600</v>
      </c>
      <c r="D28" s="24">
        <f t="shared" si="2"/>
        <v>600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59126</v>
      </c>
      <c r="D33" s="24">
        <f t="shared" si="2"/>
        <v>59126</v>
      </c>
      <c r="E33" s="92" t="str">
        <f t="shared" si="0"/>
        <v>-</v>
      </c>
      <c r="F33" s="93">
        <f t="shared" si="1"/>
        <v>1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121125</v>
      </c>
      <c r="D36" s="89">
        <f>C36</f>
        <v>121125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792986</v>
      </c>
      <c r="D37" s="81">
        <f>D12+D14+D25+D31</f>
        <v>792986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30480</v>
      </c>
      <c r="D38" s="23">
        <f>D39+D40+D41+D49+D51+D57+D58+D56</f>
        <v>30480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1142</v>
      </c>
      <c r="D39" s="82">
        <f>C39</f>
        <v>1142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5093</v>
      </c>
      <c r="D40" s="82">
        <f>C40</f>
        <v>5093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295</v>
      </c>
      <c r="D41" s="82">
        <f>D42+D44+D45+D46+D47+D48</f>
        <v>295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13</v>
      </c>
      <c r="D42" s="82">
        <f>C42</f>
        <v>13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13</v>
      </c>
      <c r="D43" s="82">
        <f aca="true" t="shared" si="3" ref="D43:D55">C43</f>
        <v>13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17</v>
      </c>
      <c r="D44" s="82">
        <f t="shared" si="3"/>
        <v>17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t="shared" si="3"/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261</v>
      </c>
      <c r="D47" s="82">
        <f t="shared" si="3"/>
        <v>261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4</v>
      </c>
      <c r="D48" s="82">
        <f>C48</f>
        <v>4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17343</v>
      </c>
      <c r="D49" s="82">
        <f>C49</f>
        <v>17343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90</v>
      </c>
      <c r="D50" s="82">
        <f>C50</f>
        <v>90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C52+C53+C54+C55</f>
        <v>3844</v>
      </c>
      <c r="D51" s="75">
        <f>D52+D53+D54+D55</f>
        <v>3844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2981</v>
      </c>
      <c r="D52" s="82">
        <f t="shared" si="3"/>
        <v>2981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425</v>
      </c>
      <c r="D53" s="82">
        <f t="shared" si="3"/>
        <v>425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438</v>
      </c>
      <c r="D55" s="82">
        <f t="shared" si="3"/>
        <v>438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>C56</f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2495</v>
      </c>
      <c r="D57" s="82">
        <f>C57</f>
        <v>2495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268</v>
      </c>
      <c r="D58" s="82">
        <f>C58</f>
        <v>268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17380</v>
      </c>
      <c r="D59" s="26">
        <f>D60+D61+D62+D63</f>
        <v>9990</v>
      </c>
      <c r="E59" s="12">
        <f t="shared" si="0"/>
        <v>-7390</v>
      </c>
      <c r="F59" s="97">
        <f t="shared" si="1"/>
        <v>0.5748</v>
      </c>
    </row>
    <row r="60" spans="1:6" ht="42" customHeight="1">
      <c r="A60" s="30" t="s">
        <v>101</v>
      </c>
      <c r="B60" s="39" t="s">
        <v>123</v>
      </c>
      <c r="C60" s="78">
        <v>0</v>
      </c>
      <c r="D60" s="82">
        <f>C60</f>
        <v>0</v>
      </c>
      <c r="E60" s="75" t="str">
        <f t="shared" si="0"/>
        <v>-</v>
      </c>
      <c r="F60" s="93" t="str">
        <f t="shared" si="1"/>
        <v>-</v>
      </c>
    </row>
    <row r="61" spans="1:6" ht="31.5" customHeight="1">
      <c r="A61" s="30" t="s">
        <v>30</v>
      </c>
      <c r="B61" s="39" t="s">
        <v>55</v>
      </c>
      <c r="C61" s="78">
        <v>17000</v>
      </c>
      <c r="D61" s="82">
        <f>C61-7330</f>
        <v>9670</v>
      </c>
      <c r="E61" s="75">
        <f t="shared" si="0"/>
        <v>-7330</v>
      </c>
      <c r="F61" s="93">
        <f t="shared" si="1"/>
        <v>0.5688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380</v>
      </c>
      <c r="D63" s="82">
        <f>C63-60</f>
        <v>320</v>
      </c>
      <c r="E63" s="75">
        <f t="shared" si="0"/>
        <v>-60</v>
      </c>
      <c r="F63" s="93">
        <f t="shared" si="1"/>
        <v>0.8421</v>
      </c>
    </row>
    <row r="64" spans="1:6" ht="32.25" customHeight="1">
      <c r="A64" s="32" t="s">
        <v>109</v>
      </c>
      <c r="B64" s="44" t="s">
        <v>128</v>
      </c>
      <c r="C64" s="26">
        <v>5000</v>
      </c>
      <c r="D64" s="26">
        <f>C64-1050</f>
        <v>3950</v>
      </c>
      <c r="E64" s="12">
        <f t="shared" si="0"/>
        <v>-1050</v>
      </c>
      <c r="F64" s="97">
        <f t="shared" si="1"/>
        <v>0.79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4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C7" sqref="C7:C98"/>
      <selection pane="topRight" activeCell="C7" sqref="C7:C98"/>
      <selection pane="bottomLeft" activeCell="C7" sqref="C7:C98"/>
      <selection pane="bottomRight" activeCell="C7" sqref="C7:C98"/>
    </sheetView>
  </sheetViews>
  <sheetFormatPr defaultColWidth="9.00390625" defaultRowHeight="12.75"/>
  <cols>
    <col min="1" max="1" width="9.125" style="1" customWidth="1"/>
    <col min="2" max="2" width="125.875" style="1" customWidth="1"/>
    <col min="3" max="3" width="25.75390625" style="1" customWidth="1"/>
    <col min="4" max="4" width="26.875" style="1" customWidth="1"/>
    <col min="5" max="5" width="25.125" style="1" customWidth="1"/>
    <col min="6" max="6" width="23.25390625" style="1" customWidth="1"/>
    <col min="7" max="16384" width="9.125" style="1" customWidth="1"/>
  </cols>
  <sheetData>
    <row r="1" spans="1:6" s="47" customFormat="1" ht="38.25" customHeight="1">
      <c r="A1" s="111" t="str">
        <f>NFZ!A1</f>
        <v>ZMIANA PLANU NARODOWEGO FUNDUSZU ZDROWIA NA 2014 R. Z DNIA 30 GRUDNIA 2014 R.</v>
      </c>
      <c r="B1" s="111"/>
      <c r="C1" s="111"/>
      <c r="D1" s="111"/>
      <c r="E1" s="111"/>
      <c r="F1" s="111"/>
    </row>
    <row r="2" spans="1:3" s="49" customFormat="1" ht="33" customHeight="1">
      <c r="A2" s="85" t="s">
        <v>66</v>
      </c>
      <c r="B2" s="85"/>
      <c r="C2" s="90"/>
    </row>
    <row r="3" spans="1:6" ht="33" customHeight="1">
      <c r="A3" s="7"/>
      <c r="B3" s="8"/>
      <c r="C3" s="84"/>
      <c r="D3" s="84"/>
      <c r="E3" s="84" t="s">
        <v>158</v>
      </c>
      <c r="F3" s="9"/>
    </row>
    <row r="4" spans="1:6" s="5" customFormat="1" ht="45" customHeight="1">
      <c r="A4" s="108" t="s">
        <v>131</v>
      </c>
      <c r="B4" s="108" t="s">
        <v>54</v>
      </c>
      <c r="C4" s="109" t="s">
        <v>191</v>
      </c>
      <c r="D4" s="109" t="s">
        <v>188</v>
      </c>
      <c r="E4" s="112" t="s">
        <v>189</v>
      </c>
      <c r="F4" s="112" t="s">
        <v>190</v>
      </c>
    </row>
    <row r="5" spans="1:6" s="5" customFormat="1" ht="45" customHeight="1">
      <c r="A5" s="108"/>
      <c r="B5" s="108"/>
      <c r="C5" s="110"/>
      <c r="D5" s="110"/>
      <c r="E5" s="112"/>
      <c r="F5" s="112"/>
    </row>
    <row r="6" spans="1:6" s="3" customFormat="1" ht="14.25">
      <c r="A6" s="46">
        <v>1</v>
      </c>
      <c r="B6" s="51">
        <v>2</v>
      </c>
      <c r="C6" s="46">
        <v>3</v>
      </c>
      <c r="D6" s="51">
        <v>4</v>
      </c>
      <c r="E6" s="46">
        <v>5</v>
      </c>
      <c r="F6" s="51">
        <v>6</v>
      </c>
    </row>
    <row r="7" spans="1:6" s="2" customFormat="1" ht="30" customHeight="1">
      <c r="A7" s="22" t="s">
        <v>0</v>
      </c>
      <c r="B7" s="38" t="s">
        <v>194</v>
      </c>
      <c r="C7" s="15">
        <f>C8+C9+C10+C15+C16+C17+C18+C19+C20+C21+C22+C23+C24+C25+C29+C30+C32+C33</f>
        <v>5386281</v>
      </c>
      <c r="D7" s="15">
        <f>D8+D9+D10+D15+D16+D17+D18+D19+D20+D21+D22+D23+D24+D25+D29+D30+D32+D33</f>
        <v>5391915</v>
      </c>
      <c r="E7" s="12">
        <f>IF(C7=D7,"-",D7-C7)</f>
        <v>5634</v>
      </c>
      <c r="F7" s="91">
        <f>IF(C7=0,"-",D7/C7)</f>
        <v>1.001</v>
      </c>
    </row>
    <row r="8" spans="1:6" ht="33" customHeight="1">
      <c r="A8" s="28" t="s">
        <v>1</v>
      </c>
      <c r="B8" s="34" t="s">
        <v>132</v>
      </c>
      <c r="C8" s="78">
        <v>664580</v>
      </c>
      <c r="D8" s="24">
        <f>C8</f>
        <v>664580</v>
      </c>
      <c r="E8" s="92" t="str">
        <f aca="true" t="shared" si="0" ref="E8:E64">IF(C8=D8,"-",D8-C8)</f>
        <v>-</v>
      </c>
      <c r="F8" s="93">
        <f aca="true" t="shared" si="1" ref="F8:F64">IF(C8=0,"-",D8/C8)</f>
        <v>1</v>
      </c>
    </row>
    <row r="9" spans="1:6" ht="33" customHeight="1">
      <c r="A9" s="28" t="s">
        <v>2</v>
      </c>
      <c r="B9" s="34" t="s">
        <v>133</v>
      </c>
      <c r="C9" s="78">
        <v>473605</v>
      </c>
      <c r="D9" s="24">
        <f aca="true" t="shared" si="2" ref="D9:D34">C9</f>
        <v>473605</v>
      </c>
      <c r="E9" s="92" t="str">
        <f t="shared" si="0"/>
        <v>-</v>
      </c>
      <c r="F9" s="93">
        <f t="shared" si="1"/>
        <v>1</v>
      </c>
    </row>
    <row r="10" spans="1:6" ht="33" customHeight="1">
      <c r="A10" s="28" t="s">
        <v>3</v>
      </c>
      <c r="B10" s="34" t="s">
        <v>130</v>
      </c>
      <c r="C10" s="78">
        <v>2610517</v>
      </c>
      <c r="D10" s="24">
        <f>C10+5634</f>
        <v>2616151</v>
      </c>
      <c r="E10" s="92">
        <f t="shared" si="0"/>
        <v>5634</v>
      </c>
      <c r="F10" s="93">
        <f t="shared" si="1"/>
        <v>1.0022</v>
      </c>
    </row>
    <row r="11" spans="1:6" ht="31.5" customHeight="1">
      <c r="A11" s="27" t="s">
        <v>56</v>
      </c>
      <c r="B11" s="33" t="s">
        <v>159</v>
      </c>
      <c r="C11" s="78">
        <v>257760</v>
      </c>
      <c r="D11" s="24">
        <f t="shared" si="2"/>
        <v>257760</v>
      </c>
      <c r="E11" s="92" t="str">
        <f t="shared" si="0"/>
        <v>-</v>
      </c>
      <c r="F11" s="93">
        <f t="shared" si="1"/>
        <v>1</v>
      </c>
    </row>
    <row r="12" spans="1:6" ht="31.5" customHeight="1">
      <c r="A12" s="27" t="s">
        <v>160</v>
      </c>
      <c r="B12" s="33" t="s">
        <v>163</v>
      </c>
      <c r="C12" s="78">
        <v>239272</v>
      </c>
      <c r="D12" s="24">
        <f t="shared" si="2"/>
        <v>239272</v>
      </c>
      <c r="E12" s="92" t="str">
        <f t="shared" si="0"/>
        <v>-</v>
      </c>
      <c r="F12" s="93">
        <f t="shared" si="1"/>
        <v>1</v>
      </c>
    </row>
    <row r="13" spans="1:6" ht="31.5" customHeight="1">
      <c r="A13" s="27" t="s">
        <v>161</v>
      </c>
      <c r="B13" s="33" t="s">
        <v>164</v>
      </c>
      <c r="C13" s="78">
        <v>97367</v>
      </c>
      <c r="D13" s="24">
        <f t="shared" si="2"/>
        <v>97367</v>
      </c>
      <c r="E13" s="92" t="str">
        <f t="shared" si="0"/>
        <v>-</v>
      </c>
      <c r="F13" s="93">
        <f t="shared" si="1"/>
        <v>1</v>
      </c>
    </row>
    <row r="14" spans="1:6" ht="31.5" customHeight="1">
      <c r="A14" s="27" t="s">
        <v>162</v>
      </c>
      <c r="B14" s="33" t="s">
        <v>165</v>
      </c>
      <c r="C14" s="78">
        <v>45665</v>
      </c>
      <c r="D14" s="24">
        <f t="shared" si="2"/>
        <v>45665</v>
      </c>
      <c r="E14" s="92" t="str">
        <f t="shared" si="0"/>
        <v>-</v>
      </c>
      <c r="F14" s="93">
        <f t="shared" si="1"/>
        <v>1</v>
      </c>
    </row>
    <row r="15" spans="1:6" ht="33" customHeight="1">
      <c r="A15" s="28" t="s">
        <v>4</v>
      </c>
      <c r="B15" s="34" t="s">
        <v>138</v>
      </c>
      <c r="C15" s="78">
        <v>167372</v>
      </c>
      <c r="D15" s="24">
        <f t="shared" si="2"/>
        <v>167372</v>
      </c>
      <c r="E15" s="92" t="str">
        <f t="shared" si="0"/>
        <v>-</v>
      </c>
      <c r="F15" s="93">
        <f t="shared" si="1"/>
        <v>1</v>
      </c>
    </row>
    <row r="16" spans="1:6" ht="33" customHeight="1">
      <c r="A16" s="28" t="s">
        <v>5</v>
      </c>
      <c r="B16" s="34" t="s">
        <v>134</v>
      </c>
      <c r="C16" s="78">
        <v>180495</v>
      </c>
      <c r="D16" s="24">
        <f t="shared" si="2"/>
        <v>180495</v>
      </c>
      <c r="E16" s="92" t="str">
        <f t="shared" si="0"/>
        <v>-</v>
      </c>
      <c r="F16" s="93">
        <f t="shared" si="1"/>
        <v>1</v>
      </c>
    </row>
    <row r="17" spans="1:6" ht="33" customHeight="1">
      <c r="A17" s="28" t="s">
        <v>6</v>
      </c>
      <c r="B17" s="34" t="s">
        <v>140</v>
      </c>
      <c r="C17" s="78">
        <v>114602</v>
      </c>
      <c r="D17" s="24">
        <f t="shared" si="2"/>
        <v>114602</v>
      </c>
      <c r="E17" s="92" t="str">
        <f t="shared" si="0"/>
        <v>-</v>
      </c>
      <c r="F17" s="93">
        <f t="shared" si="1"/>
        <v>1</v>
      </c>
    </row>
    <row r="18" spans="1:6" ht="33" customHeight="1">
      <c r="A18" s="28" t="s">
        <v>7</v>
      </c>
      <c r="B18" s="34" t="s">
        <v>139</v>
      </c>
      <c r="C18" s="78">
        <v>34178</v>
      </c>
      <c r="D18" s="24">
        <f t="shared" si="2"/>
        <v>34178</v>
      </c>
      <c r="E18" s="92" t="str">
        <f t="shared" si="0"/>
        <v>-</v>
      </c>
      <c r="F18" s="93">
        <f t="shared" si="1"/>
        <v>1</v>
      </c>
    </row>
    <row r="19" spans="1:6" ht="33" customHeight="1">
      <c r="A19" s="28" t="s">
        <v>8</v>
      </c>
      <c r="B19" s="34" t="s">
        <v>135</v>
      </c>
      <c r="C19" s="78">
        <v>181060</v>
      </c>
      <c r="D19" s="24">
        <f t="shared" si="2"/>
        <v>181060</v>
      </c>
      <c r="E19" s="92" t="str">
        <f t="shared" si="0"/>
        <v>-</v>
      </c>
      <c r="F19" s="93">
        <f t="shared" si="1"/>
        <v>1</v>
      </c>
    </row>
    <row r="20" spans="1:6" ht="33" customHeight="1">
      <c r="A20" s="28" t="s">
        <v>9</v>
      </c>
      <c r="B20" s="34" t="s">
        <v>136</v>
      </c>
      <c r="C20" s="78">
        <v>49531</v>
      </c>
      <c r="D20" s="24">
        <f t="shared" si="2"/>
        <v>49531</v>
      </c>
      <c r="E20" s="92" t="str">
        <f t="shared" si="0"/>
        <v>-</v>
      </c>
      <c r="F20" s="93">
        <f t="shared" si="1"/>
        <v>1</v>
      </c>
    </row>
    <row r="21" spans="1:6" ht="33" customHeight="1">
      <c r="A21" s="28" t="s">
        <v>10</v>
      </c>
      <c r="B21" s="34" t="s">
        <v>141</v>
      </c>
      <c r="C21" s="78">
        <v>1701</v>
      </c>
      <c r="D21" s="24">
        <f t="shared" si="2"/>
        <v>1701</v>
      </c>
      <c r="E21" s="92" t="str">
        <f t="shared" si="0"/>
        <v>-</v>
      </c>
      <c r="F21" s="93">
        <f t="shared" si="1"/>
        <v>1</v>
      </c>
    </row>
    <row r="22" spans="1:6" ht="46.5" customHeight="1">
      <c r="A22" s="28" t="s">
        <v>11</v>
      </c>
      <c r="B22" s="34" t="s">
        <v>137</v>
      </c>
      <c r="C22" s="78">
        <v>12379</v>
      </c>
      <c r="D22" s="24">
        <f t="shared" si="2"/>
        <v>12379</v>
      </c>
      <c r="E22" s="92" t="str">
        <f t="shared" si="0"/>
        <v>-</v>
      </c>
      <c r="F22" s="93">
        <f t="shared" si="1"/>
        <v>1</v>
      </c>
    </row>
    <row r="23" spans="1:6" ht="33" customHeight="1">
      <c r="A23" s="28" t="s">
        <v>12</v>
      </c>
      <c r="B23" s="34" t="s">
        <v>182</v>
      </c>
      <c r="C23" s="78">
        <v>146640</v>
      </c>
      <c r="D23" s="24">
        <f t="shared" si="2"/>
        <v>146640</v>
      </c>
      <c r="E23" s="92" t="str">
        <f t="shared" si="0"/>
        <v>-</v>
      </c>
      <c r="F23" s="93">
        <f t="shared" si="1"/>
        <v>1</v>
      </c>
    </row>
    <row r="24" spans="1:6" ht="33" customHeight="1">
      <c r="A24" s="28" t="s">
        <v>13</v>
      </c>
      <c r="B24" s="34" t="s">
        <v>166</v>
      </c>
      <c r="C24" s="78">
        <v>70000</v>
      </c>
      <c r="D24" s="24">
        <f t="shared" si="2"/>
        <v>70000</v>
      </c>
      <c r="E24" s="92" t="str">
        <f t="shared" si="0"/>
        <v>-</v>
      </c>
      <c r="F24" s="93">
        <f t="shared" si="1"/>
        <v>1</v>
      </c>
    </row>
    <row r="25" spans="1:6" ht="33" customHeight="1">
      <c r="A25" s="29" t="s">
        <v>14</v>
      </c>
      <c r="B25" s="76" t="s">
        <v>195</v>
      </c>
      <c r="C25" s="78">
        <f>SUM(C26:C28)</f>
        <v>679621</v>
      </c>
      <c r="D25" s="78">
        <f>SUM(D26:D28)</f>
        <v>679621</v>
      </c>
      <c r="E25" s="92" t="str">
        <f t="shared" si="0"/>
        <v>-</v>
      </c>
      <c r="F25" s="93">
        <f t="shared" si="1"/>
        <v>1</v>
      </c>
    </row>
    <row r="26" spans="1:6" ht="31.5">
      <c r="A26" s="27" t="s">
        <v>142</v>
      </c>
      <c r="B26" s="33" t="s">
        <v>168</v>
      </c>
      <c r="C26" s="78">
        <v>675621</v>
      </c>
      <c r="D26" s="24">
        <f t="shared" si="2"/>
        <v>675621</v>
      </c>
      <c r="E26" s="92" t="str">
        <f t="shared" si="0"/>
        <v>-</v>
      </c>
      <c r="F26" s="93">
        <f t="shared" si="1"/>
        <v>1</v>
      </c>
    </row>
    <row r="27" spans="1:6" ht="31.5" customHeight="1">
      <c r="A27" s="27" t="s">
        <v>167</v>
      </c>
      <c r="B27" s="33" t="s">
        <v>170</v>
      </c>
      <c r="C27" s="78">
        <v>3000</v>
      </c>
      <c r="D27" s="24">
        <f t="shared" si="2"/>
        <v>3000</v>
      </c>
      <c r="E27" s="92" t="str">
        <f t="shared" si="0"/>
        <v>-</v>
      </c>
      <c r="F27" s="93">
        <f t="shared" si="1"/>
        <v>1</v>
      </c>
    </row>
    <row r="28" spans="1:6" ht="31.5" customHeight="1">
      <c r="A28" s="27" t="s">
        <v>171</v>
      </c>
      <c r="B28" s="33" t="s">
        <v>169</v>
      </c>
      <c r="C28" s="78">
        <v>1000</v>
      </c>
      <c r="D28" s="24">
        <f t="shared" si="2"/>
        <v>1000</v>
      </c>
      <c r="E28" s="92" t="str">
        <f t="shared" si="0"/>
        <v>-</v>
      </c>
      <c r="F28" s="93">
        <f t="shared" si="1"/>
        <v>1</v>
      </c>
    </row>
    <row r="29" spans="1:6" ht="33" customHeight="1">
      <c r="A29" s="30" t="s">
        <v>15</v>
      </c>
      <c r="B29" s="35" t="s">
        <v>121</v>
      </c>
      <c r="C29" s="78">
        <v>0</v>
      </c>
      <c r="D29" s="24">
        <f t="shared" si="2"/>
        <v>0</v>
      </c>
      <c r="E29" s="92" t="str">
        <f t="shared" si="0"/>
        <v>-</v>
      </c>
      <c r="F29" s="93" t="str">
        <f t="shared" si="1"/>
        <v>-</v>
      </c>
    </row>
    <row r="30" spans="1:6" ht="33" customHeight="1">
      <c r="A30" s="30" t="s">
        <v>118</v>
      </c>
      <c r="B30" s="36" t="s">
        <v>172</v>
      </c>
      <c r="C30" s="78">
        <v>0</v>
      </c>
      <c r="D30" s="24">
        <f t="shared" si="2"/>
        <v>0</v>
      </c>
      <c r="E30" s="92" t="str">
        <f t="shared" si="0"/>
        <v>-</v>
      </c>
      <c r="F30" s="93" t="str">
        <f t="shared" si="1"/>
        <v>-</v>
      </c>
    </row>
    <row r="31" spans="1:6" ht="31.5" customHeight="1">
      <c r="A31" s="27" t="s">
        <v>173</v>
      </c>
      <c r="B31" s="33" t="s">
        <v>184</v>
      </c>
      <c r="C31" s="78">
        <v>0</v>
      </c>
      <c r="D31" s="24">
        <f t="shared" si="2"/>
        <v>0</v>
      </c>
      <c r="E31" s="92" t="str">
        <f t="shared" si="0"/>
        <v>-</v>
      </c>
      <c r="F31" s="93" t="str">
        <f t="shared" si="1"/>
        <v>-</v>
      </c>
    </row>
    <row r="32" spans="1:6" ht="33" customHeight="1">
      <c r="A32" s="30" t="s">
        <v>119</v>
      </c>
      <c r="B32" s="36" t="s">
        <v>122</v>
      </c>
      <c r="C32" s="78">
        <v>0</v>
      </c>
      <c r="D32" s="24">
        <f t="shared" si="2"/>
        <v>0</v>
      </c>
      <c r="E32" s="92" t="str">
        <f t="shared" si="0"/>
        <v>-</v>
      </c>
      <c r="F32" s="93" t="str">
        <f t="shared" si="1"/>
        <v>-</v>
      </c>
    </row>
    <row r="33" spans="1:6" ht="33" customHeight="1">
      <c r="A33" s="30" t="s">
        <v>120</v>
      </c>
      <c r="B33" s="36" t="s">
        <v>183</v>
      </c>
      <c r="C33" s="78">
        <v>0</v>
      </c>
      <c r="D33" s="24">
        <f t="shared" si="2"/>
        <v>0</v>
      </c>
      <c r="E33" s="92" t="str">
        <f t="shared" si="0"/>
        <v>-</v>
      </c>
      <c r="F33" s="93" t="str">
        <f t="shared" si="1"/>
        <v>-</v>
      </c>
    </row>
    <row r="34" spans="1:6" ht="51.75" customHeight="1">
      <c r="A34" s="30" t="s">
        <v>192</v>
      </c>
      <c r="B34" s="36" t="s">
        <v>193</v>
      </c>
      <c r="C34" s="78">
        <v>0</v>
      </c>
      <c r="D34" s="24">
        <f t="shared" si="2"/>
        <v>0</v>
      </c>
      <c r="E34" s="92" t="str">
        <f>IF(C34=D34,"-",D34-C34)</f>
        <v>-</v>
      </c>
      <c r="F34" s="93" t="str">
        <f>IF(C34=0,"-",D34/C34)</f>
        <v>-</v>
      </c>
    </row>
    <row r="35" spans="1:6" s="4" customFormat="1" ht="31.5" customHeight="1">
      <c r="A35" s="31" t="s">
        <v>58</v>
      </c>
      <c r="B35" s="37" t="s">
        <v>59</v>
      </c>
      <c r="C35" s="81">
        <v>0</v>
      </c>
      <c r="D35" s="88">
        <f>C35</f>
        <v>0</v>
      </c>
      <c r="E35" s="14" t="str">
        <f t="shared" si="0"/>
        <v>-</v>
      </c>
      <c r="F35" s="94" t="str">
        <f t="shared" si="1"/>
        <v>-</v>
      </c>
    </row>
    <row r="36" spans="1:6" s="4" customFormat="1" ht="31.5" customHeight="1">
      <c r="A36" s="31" t="s">
        <v>57</v>
      </c>
      <c r="B36" s="37" t="s">
        <v>60</v>
      </c>
      <c r="C36" s="81">
        <v>139169</v>
      </c>
      <c r="D36" s="89">
        <f>C36</f>
        <v>139169</v>
      </c>
      <c r="E36" s="14" t="str">
        <f t="shared" si="0"/>
        <v>-</v>
      </c>
      <c r="F36" s="94">
        <f t="shared" si="1"/>
        <v>1</v>
      </c>
    </row>
    <row r="37" spans="1:6" s="4" customFormat="1" ht="42.75" customHeight="1">
      <c r="A37" s="31" t="s">
        <v>174</v>
      </c>
      <c r="B37" s="37" t="s">
        <v>175</v>
      </c>
      <c r="C37" s="81">
        <v>964558</v>
      </c>
      <c r="D37" s="81">
        <f>D12+D14+D25+D31</f>
        <v>964558</v>
      </c>
      <c r="E37" s="14" t="str">
        <f t="shared" si="0"/>
        <v>-</v>
      </c>
      <c r="F37" s="94">
        <f t="shared" si="1"/>
        <v>1</v>
      </c>
    </row>
    <row r="38" spans="1:6" s="2" customFormat="1" ht="30" customHeight="1">
      <c r="A38" s="25" t="s">
        <v>16</v>
      </c>
      <c r="B38" s="45" t="s">
        <v>196</v>
      </c>
      <c r="C38" s="23">
        <f>C39+C40+C41+C49+C51+C57+C58+C56</f>
        <v>40940</v>
      </c>
      <c r="D38" s="23">
        <f>D39+D40+D41+D49+D51+D57+D58+D56</f>
        <v>40940</v>
      </c>
      <c r="E38" s="12" t="str">
        <f t="shared" si="0"/>
        <v>-</v>
      </c>
      <c r="F38" s="95">
        <f t="shared" si="1"/>
        <v>1</v>
      </c>
    </row>
    <row r="39" spans="1:6" ht="28.5" customHeight="1">
      <c r="A39" s="30" t="s">
        <v>17</v>
      </c>
      <c r="B39" s="39" t="s">
        <v>18</v>
      </c>
      <c r="C39" s="78">
        <v>1699</v>
      </c>
      <c r="D39" s="82">
        <f>C39</f>
        <v>1699</v>
      </c>
      <c r="E39" s="92" t="str">
        <f t="shared" si="0"/>
        <v>-</v>
      </c>
      <c r="F39" s="93">
        <f t="shared" si="1"/>
        <v>1</v>
      </c>
    </row>
    <row r="40" spans="1:6" ht="28.5" customHeight="1">
      <c r="A40" s="30" t="s">
        <v>19</v>
      </c>
      <c r="B40" s="39" t="s">
        <v>20</v>
      </c>
      <c r="C40" s="78">
        <v>4681</v>
      </c>
      <c r="D40" s="82">
        <f>C40</f>
        <v>4681</v>
      </c>
      <c r="E40" s="92" t="str">
        <f t="shared" si="0"/>
        <v>-</v>
      </c>
      <c r="F40" s="93">
        <f t="shared" si="1"/>
        <v>1</v>
      </c>
    </row>
    <row r="41" spans="1:6" ht="28.5" customHeight="1">
      <c r="A41" s="30" t="s">
        <v>21</v>
      </c>
      <c r="B41" s="40" t="s">
        <v>197</v>
      </c>
      <c r="C41" s="82">
        <f>C42+C44+C45+C46+C47+C48</f>
        <v>281</v>
      </c>
      <c r="D41" s="82">
        <f>D42+D44+D45+D46+D47+D48</f>
        <v>281</v>
      </c>
      <c r="E41" s="92" t="str">
        <f t="shared" si="0"/>
        <v>-</v>
      </c>
      <c r="F41" s="93">
        <f t="shared" si="1"/>
        <v>1</v>
      </c>
    </row>
    <row r="42" spans="1:6" ht="28.5" customHeight="1">
      <c r="A42" s="41" t="s">
        <v>39</v>
      </c>
      <c r="B42" s="42" t="s">
        <v>32</v>
      </c>
      <c r="C42" s="78">
        <v>23</v>
      </c>
      <c r="D42" s="82">
        <f>C42</f>
        <v>23</v>
      </c>
      <c r="E42" s="92" t="str">
        <f t="shared" si="0"/>
        <v>-</v>
      </c>
      <c r="F42" s="93">
        <f t="shared" si="1"/>
        <v>1</v>
      </c>
    </row>
    <row r="43" spans="1:6" ht="28.5" customHeight="1">
      <c r="A43" s="41" t="s">
        <v>40</v>
      </c>
      <c r="B43" s="43" t="s">
        <v>33</v>
      </c>
      <c r="C43" s="78">
        <v>23</v>
      </c>
      <c r="D43" s="82">
        <f>C43</f>
        <v>23</v>
      </c>
      <c r="E43" s="92" t="str">
        <f t="shared" si="0"/>
        <v>-</v>
      </c>
      <c r="F43" s="93">
        <f t="shared" si="1"/>
        <v>1</v>
      </c>
    </row>
    <row r="44" spans="1:6" ht="28.5" customHeight="1">
      <c r="A44" s="41" t="s">
        <v>41</v>
      </c>
      <c r="B44" s="42" t="s">
        <v>34</v>
      </c>
      <c r="C44" s="78">
        <v>50</v>
      </c>
      <c r="D44" s="82">
        <f>C44</f>
        <v>50</v>
      </c>
      <c r="E44" s="92" t="str">
        <f t="shared" si="0"/>
        <v>-</v>
      </c>
      <c r="F44" s="93">
        <f t="shared" si="1"/>
        <v>1</v>
      </c>
    </row>
    <row r="45" spans="1:6" ht="28.5" customHeight="1">
      <c r="A45" s="41" t="s">
        <v>42</v>
      </c>
      <c r="B45" s="42" t="s">
        <v>35</v>
      </c>
      <c r="C45" s="78">
        <v>0</v>
      </c>
      <c r="D45" s="82">
        <f aca="true" t="shared" si="3" ref="D45:D58">C45</f>
        <v>0</v>
      </c>
      <c r="E45" s="92" t="str">
        <f t="shared" si="0"/>
        <v>-</v>
      </c>
      <c r="F45" s="93" t="str">
        <f t="shared" si="1"/>
        <v>-</v>
      </c>
    </row>
    <row r="46" spans="1:6" ht="28.5" customHeight="1">
      <c r="A46" s="41" t="s">
        <v>43</v>
      </c>
      <c r="B46" s="42" t="s">
        <v>36</v>
      </c>
      <c r="C46" s="78">
        <v>0</v>
      </c>
      <c r="D46" s="82">
        <f t="shared" si="3"/>
        <v>0</v>
      </c>
      <c r="E46" s="92" t="str">
        <f t="shared" si="0"/>
        <v>-</v>
      </c>
      <c r="F46" s="93" t="str">
        <f t="shared" si="1"/>
        <v>-</v>
      </c>
    </row>
    <row r="47" spans="1:6" ht="28.5" customHeight="1">
      <c r="A47" s="41" t="s">
        <v>44</v>
      </c>
      <c r="B47" s="42" t="s">
        <v>37</v>
      </c>
      <c r="C47" s="78">
        <v>153</v>
      </c>
      <c r="D47" s="82">
        <f t="shared" si="3"/>
        <v>153</v>
      </c>
      <c r="E47" s="92" t="str">
        <f t="shared" si="0"/>
        <v>-</v>
      </c>
      <c r="F47" s="93">
        <f t="shared" si="1"/>
        <v>1</v>
      </c>
    </row>
    <row r="48" spans="1:6" ht="28.5" customHeight="1">
      <c r="A48" s="41" t="s">
        <v>45</v>
      </c>
      <c r="B48" s="42" t="s">
        <v>38</v>
      </c>
      <c r="C48" s="78">
        <v>55</v>
      </c>
      <c r="D48" s="82">
        <f t="shared" si="3"/>
        <v>55</v>
      </c>
      <c r="E48" s="92" t="str">
        <f t="shared" si="0"/>
        <v>-</v>
      </c>
      <c r="F48" s="93">
        <f t="shared" si="1"/>
        <v>1</v>
      </c>
    </row>
    <row r="49" spans="1:6" ht="28.5" customHeight="1">
      <c r="A49" s="30" t="s">
        <v>22</v>
      </c>
      <c r="B49" s="39" t="s">
        <v>176</v>
      </c>
      <c r="C49" s="78">
        <v>21915</v>
      </c>
      <c r="D49" s="82">
        <f t="shared" si="3"/>
        <v>21915</v>
      </c>
      <c r="E49" s="92" t="str">
        <f t="shared" si="0"/>
        <v>-</v>
      </c>
      <c r="F49" s="93">
        <f t="shared" si="1"/>
        <v>1</v>
      </c>
    </row>
    <row r="50" spans="1:6" ht="28.5" customHeight="1">
      <c r="A50" s="41" t="s">
        <v>177</v>
      </c>
      <c r="B50" s="42" t="s">
        <v>178</v>
      </c>
      <c r="C50" s="78">
        <v>24</v>
      </c>
      <c r="D50" s="82">
        <f t="shared" si="3"/>
        <v>24</v>
      </c>
      <c r="E50" s="92" t="str">
        <f t="shared" si="0"/>
        <v>-</v>
      </c>
      <c r="F50" s="93">
        <f t="shared" si="1"/>
        <v>1</v>
      </c>
    </row>
    <row r="51" spans="1:6" ht="28.5" customHeight="1">
      <c r="A51" s="30" t="s">
        <v>23</v>
      </c>
      <c r="B51" s="40" t="s">
        <v>198</v>
      </c>
      <c r="C51" s="75">
        <f>SUM(C52:C55)</f>
        <v>4864</v>
      </c>
      <c r="D51" s="75">
        <f>SUM(D52:D55)</f>
        <v>4864</v>
      </c>
      <c r="E51" s="92" t="str">
        <f t="shared" si="0"/>
        <v>-</v>
      </c>
      <c r="F51" s="93">
        <f t="shared" si="1"/>
        <v>1</v>
      </c>
    </row>
    <row r="52" spans="1:6" ht="28.5" customHeight="1">
      <c r="A52" s="41" t="s">
        <v>50</v>
      </c>
      <c r="B52" s="42" t="s">
        <v>46</v>
      </c>
      <c r="C52" s="78">
        <v>3737</v>
      </c>
      <c r="D52" s="82">
        <f t="shared" si="3"/>
        <v>3737</v>
      </c>
      <c r="E52" s="92" t="str">
        <f t="shared" si="0"/>
        <v>-</v>
      </c>
      <c r="F52" s="93">
        <f t="shared" si="1"/>
        <v>1</v>
      </c>
    </row>
    <row r="53" spans="1:6" ht="28.5" customHeight="1">
      <c r="A53" s="41" t="s">
        <v>51</v>
      </c>
      <c r="B53" s="42" t="s">
        <v>47</v>
      </c>
      <c r="C53" s="78">
        <v>517</v>
      </c>
      <c r="D53" s="82">
        <f t="shared" si="3"/>
        <v>517</v>
      </c>
      <c r="E53" s="92" t="str">
        <f t="shared" si="0"/>
        <v>-</v>
      </c>
      <c r="F53" s="93">
        <f t="shared" si="1"/>
        <v>1</v>
      </c>
    </row>
    <row r="54" spans="1:6" ht="28.5" customHeight="1">
      <c r="A54" s="41" t="s">
        <v>52</v>
      </c>
      <c r="B54" s="42" t="s">
        <v>48</v>
      </c>
      <c r="C54" s="78">
        <v>0</v>
      </c>
      <c r="D54" s="82">
        <f t="shared" si="3"/>
        <v>0</v>
      </c>
      <c r="E54" s="92" t="str">
        <f t="shared" si="0"/>
        <v>-</v>
      </c>
      <c r="F54" s="93" t="str">
        <f t="shared" si="1"/>
        <v>-</v>
      </c>
    </row>
    <row r="55" spans="1:6" ht="28.5" customHeight="1">
      <c r="A55" s="41" t="s">
        <v>53</v>
      </c>
      <c r="B55" s="42" t="s">
        <v>49</v>
      </c>
      <c r="C55" s="78">
        <v>610</v>
      </c>
      <c r="D55" s="82">
        <f t="shared" si="3"/>
        <v>610</v>
      </c>
      <c r="E55" s="92" t="str">
        <f t="shared" si="0"/>
        <v>-</v>
      </c>
      <c r="F55" s="93">
        <f t="shared" si="1"/>
        <v>1</v>
      </c>
    </row>
    <row r="56" spans="1:6" ht="28.5" customHeight="1">
      <c r="A56" s="30" t="s">
        <v>24</v>
      </c>
      <c r="B56" s="39" t="s">
        <v>25</v>
      </c>
      <c r="C56" s="78">
        <v>0</v>
      </c>
      <c r="D56" s="82">
        <f t="shared" si="3"/>
        <v>0</v>
      </c>
      <c r="E56" s="92" t="str">
        <f t="shared" si="0"/>
        <v>-</v>
      </c>
      <c r="F56" s="93" t="str">
        <f t="shared" si="1"/>
        <v>-</v>
      </c>
    </row>
    <row r="57" spans="1:6" ht="28.5" customHeight="1">
      <c r="A57" s="30" t="s">
        <v>26</v>
      </c>
      <c r="B57" s="39" t="s">
        <v>179</v>
      </c>
      <c r="C57" s="78">
        <v>7200</v>
      </c>
      <c r="D57" s="82">
        <f t="shared" si="3"/>
        <v>7200</v>
      </c>
      <c r="E57" s="92" t="str">
        <f t="shared" si="0"/>
        <v>-</v>
      </c>
      <c r="F57" s="96">
        <f t="shared" si="1"/>
        <v>1</v>
      </c>
    </row>
    <row r="58" spans="1:6" ht="28.5" customHeight="1">
      <c r="A58" s="30" t="s">
        <v>27</v>
      </c>
      <c r="B58" s="39" t="s">
        <v>28</v>
      </c>
      <c r="C58" s="78">
        <v>300</v>
      </c>
      <c r="D58" s="82">
        <f t="shared" si="3"/>
        <v>300</v>
      </c>
      <c r="E58" s="92" t="str">
        <f t="shared" si="0"/>
        <v>-</v>
      </c>
      <c r="F58" s="93">
        <f t="shared" si="1"/>
        <v>1</v>
      </c>
    </row>
    <row r="59" spans="1:6" s="2" customFormat="1" ht="30" customHeight="1">
      <c r="A59" s="32" t="s">
        <v>29</v>
      </c>
      <c r="B59" s="44" t="s">
        <v>180</v>
      </c>
      <c r="C59" s="26">
        <f>C60+C61+C62+C63</f>
        <v>20960</v>
      </c>
      <c r="D59" s="26">
        <f>D60+D61+D62+D63</f>
        <v>19500</v>
      </c>
      <c r="E59" s="12">
        <f t="shared" si="0"/>
        <v>-1460</v>
      </c>
      <c r="F59" s="97">
        <f t="shared" si="1"/>
        <v>0.9303</v>
      </c>
    </row>
    <row r="60" spans="1:6" ht="42" customHeight="1">
      <c r="A60" s="30" t="s">
        <v>101</v>
      </c>
      <c r="B60" s="39" t="s">
        <v>123</v>
      </c>
      <c r="C60" s="78">
        <v>0</v>
      </c>
      <c r="D60" s="82">
        <f>C60</f>
        <v>0</v>
      </c>
      <c r="E60" s="75" t="str">
        <f t="shared" si="0"/>
        <v>-</v>
      </c>
      <c r="F60" s="93" t="str">
        <f t="shared" si="1"/>
        <v>-</v>
      </c>
    </row>
    <row r="61" spans="1:6" ht="31.5" customHeight="1">
      <c r="A61" s="30" t="s">
        <v>30</v>
      </c>
      <c r="B61" s="39" t="s">
        <v>55</v>
      </c>
      <c r="C61" s="78">
        <v>18295</v>
      </c>
      <c r="D61" s="82">
        <f>C61-5795</f>
        <v>12500</v>
      </c>
      <c r="E61" s="75">
        <f t="shared" si="0"/>
        <v>-5795</v>
      </c>
      <c r="F61" s="93">
        <f t="shared" si="1"/>
        <v>0.6832</v>
      </c>
    </row>
    <row r="62" spans="1:6" ht="31.5" customHeight="1">
      <c r="A62" s="30" t="s">
        <v>31</v>
      </c>
      <c r="B62" s="39" t="s">
        <v>103</v>
      </c>
      <c r="C62" s="78">
        <v>0</v>
      </c>
      <c r="D62" s="82">
        <f>C62</f>
        <v>0</v>
      </c>
      <c r="E62" s="75" t="str">
        <f t="shared" si="0"/>
        <v>-</v>
      </c>
      <c r="F62" s="93" t="str">
        <f t="shared" si="1"/>
        <v>-</v>
      </c>
    </row>
    <row r="63" spans="1:6" ht="31.5" customHeight="1">
      <c r="A63" s="30" t="s">
        <v>102</v>
      </c>
      <c r="B63" s="39" t="s">
        <v>104</v>
      </c>
      <c r="C63" s="78">
        <v>2665</v>
      </c>
      <c r="D63" s="82">
        <f>C63+4335</f>
        <v>7000</v>
      </c>
      <c r="E63" s="75">
        <f t="shared" si="0"/>
        <v>4335</v>
      </c>
      <c r="F63" s="93">
        <f t="shared" si="1"/>
        <v>2.6266</v>
      </c>
    </row>
    <row r="64" spans="1:6" ht="32.25" customHeight="1">
      <c r="A64" s="32" t="s">
        <v>109</v>
      </c>
      <c r="B64" s="44" t="s">
        <v>128</v>
      </c>
      <c r="C64" s="26">
        <v>300</v>
      </c>
      <c r="D64" s="26">
        <f>C64+5600</f>
        <v>5900</v>
      </c>
      <c r="E64" s="12">
        <f t="shared" si="0"/>
        <v>5600</v>
      </c>
      <c r="F64" s="97">
        <f t="shared" si="1"/>
        <v>19.6667</v>
      </c>
    </row>
  </sheetData>
  <sheetProtection formatCells="0" formatColumns="0" formatRows="0" insertColumns="0" insertRows="0" insertHyperlinks="0" deleteColumns="0" deleteRows="0"/>
  <mergeCells count="7">
    <mergeCell ref="F4:F5"/>
    <mergeCell ref="A1:F1"/>
    <mergeCell ref="A4:A5"/>
    <mergeCell ref="B4:B5"/>
    <mergeCell ref="C4:C5"/>
    <mergeCell ref="D4:D5"/>
    <mergeCell ref="E4:E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Rosińska Edyta</dc:creator>
  <cp:keywords/>
  <dc:description/>
  <cp:lastModifiedBy>Wodzynska Ewelina</cp:lastModifiedBy>
  <cp:lastPrinted>2014-12-22T10:50:33Z</cp:lastPrinted>
  <dcterms:created xsi:type="dcterms:W3CDTF">2005-07-21T09:51:05Z</dcterms:created>
  <dcterms:modified xsi:type="dcterms:W3CDTF">2017-10-24T10:55:18Z</dcterms:modified>
  <cp:category/>
  <cp:version/>
  <cp:contentType/>
  <cp:contentStatus/>
</cp:coreProperties>
</file>