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9153737D-67BE-4613-AE90-34F1459EF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1" i="4" l="1"/>
  <c r="C130" i="4"/>
  <c r="C129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4" i="4"/>
  <c r="C114" i="4"/>
  <c r="D113" i="4"/>
  <c r="C113" i="4"/>
  <c r="D112" i="4"/>
  <c r="K112" i="4" s="1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K105" i="4" s="1"/>
  <c r="D104" i="4"/>
  <c r="C104" i="4"/>
  <c r="D103" i="4"/>
  <c r="C103" i="4"/>
  <c r="D102" i="4"/>
  <c r="C102" i="4"/>
  <c r="D101" i="4"/>
  <c r="C101" i="4"/>
  <c r="K101" i="4" s="1"/>
  <c r="D100" i="4"/>
  <c r="C100" i="4"/>
  <c r="D99" i="4"/>
  <c r="C99" i="4"/>
  <c r="D98" i="4"/>
  <c r="C98" i="4"/>
  <c r="I92" i="4"/>
  <c r="H92" i="4"/>
  <c r="G92" i="4"/>
  <c r="F92" i="4"/>
  <c r="E92" i="4"/>
  <c r="D92" i="4"/>
  <c r="C92" i="4"/>
  <c r="I91" i="4"/>
  <c r="H91" i="4"/>
  <c r="G91" i="4"/>
  <c r="F91" i="4"/>
  <c r="E91" i="4"/>
  <c r="E93" i="4" s="1"/>
  <c r="D91" i="4"/>
  <c r="C91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H75" i="4" s="1"/>
  <c r="G72" i="4"/>
  <c r="F72" i="4"/>
  <c r="E72" i="4"/>
  <c r="E75" i="4" s="1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56" i="4"/>
  <c r="H56" i="4"/>
  <c r="G56" i="4"/>
  <c r="F56" i="4"/>
  <c r="E56" i="4"/>
  <c r="D56" i="4"/>
  <c r="C56" i="4"/>
  <c r="D53" i="4"/>
  <c r="K53" i="4" s="1"/>
  <c r="C53" i="4"/>
  <c r="D52" i="4"/>
  <c r="C52" i="4"/>
  <c r="D51" i="4"/>
  <c r="K51" i="4" s="1"/>
  <c r="C51" i="4"/>
  <c r="D50" i="4"/>
  <c r="C50" i="4"/>
  <c r="D49" i="4"/>
  <c r="J49" i="4" s="1"/>
  <c r="C49" i="4"/>
  <c r="D48" i="4"/>
  <c r="C48" i="4"/>
  <c r="K48" i="4" s="1"/>
  <c r="D47" i="4"/>
  <c r="K47" i="4" s="1"/>
  <c r="C47" i="4"/>
  <c r="D46" i="4"/>
  <c r="C46" i="4"/>
  <c r="D45" i="4"/>
  <c r="J45" i="4" s="1"/>
  <c r="C45" i="4"/>
  <c r="D44" i="4"/>
  <c r="D27" i="4" s="1"/>
  <c r="C44" i="4"/>
  <c r="D43" i="4"/>
  <c r="J43" i="4" s="1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K17" i="4" s="1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J15" i="4" s="1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J12" i="4" s="1"/>
  <c r="C12" i="4"/>
  <c r="K12" i="4" s="1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J8" i="4" s="1"/>
  <c r="C8" i="4"/>
  <c r="I6" i="4"/>
  <c r="H6" i="4"/>
  <c r="H55" i="4" s="1"/>
  <c r="H57" i="4" s="1"/>
  <c r="G6" i="4"/>
  <c r="F6" i="4"/>
  <c r="E6" i="4"/>
  <c r="E7" i="4" s="1"/>
  <c r="D6" i="4"/>
  <c r="C6" i="4"/>
  <c r="D129" i="4"/>
  <c r="B1" i="4" s="1"/>
  <c r="K19" i="4"/>
  <c r="K9" i="4"/>
  <c r="K33" i="4"/>
  <c r="K100" i="4"/>
  <c r="K24" i="4"/>
  <c r="J21" i="4"/>
  <c r="J6" i="4"/>
  <c r="D55" i="4"/>
  <c r="D57" i="4" s="1"/>
  <c r="D77" i="4" s="1"/>
  <c r="J28" i="4"/>
  <c r="J36" i="4"/>
  <c r="J10" i="4"/>
  <c r="J53" i="4"/>
  <c r="J17" i="4"/>
  <c r="J20" i="4"/>
  <c r="J42" i="4"/>
  <c r="J35" i="4"/>
  <c r="J48" i="4"/>
  <c r="J34" i="4"/>
  <c r="J32" i="4"/>
  <c r="D76" i="4"/>
  <c r="J52" i="4"/>
  <c r="J19" i="4"/>
  <c r="J23" i="4"/>
  <c r="J40" i="4"/>
  <c r="J16" i="4"/>
  <c r="J51" i="4"/>
  <c r="J38" i="4"/>
  <c r="J24" i="4"/>
  <c r="J39" i="4"/>
  <c r="J31" i="4"/>
  <c r="J50" i="4"/>
  <c r="J9" i="4"/>
  <c r="J29" i="4"/>
  <c r="J37" i="4"/>
  <c r="J18" i="4"/>
  <c r="J46" i="4"/>
  <c r="J47" i="4"/>
  <c r="J33" i="4"/>
  <c r="J41" i="4"/>
  <c r="J11" i="4"/>
  <c r="J14" i="4"/>
  <c r="J30" i="4"/>
  <c r="J22" i="4"/>
  <c r="J13" i="4"/>
  <c r="K44" i="4"/>
  <c r="K45" i="4"/>
  <c r="K67" i="4"/>
  <c r="K6" i="4"/>
  <c r="C55" i="4"/>
  <c r="C57" i="4" s="1"/>
  <c r="C76" i="4"/>
  <c r="K21" i="4"/>
  <c r="K31" i="4"/>
  <c r="K92" i="4"/>
  <c r="K70" i="4"/>
  <c r="K16" i="4"/>
  <c r="K23" i="4"/>
  <c r="K113" i="4"/>
  <c r="K37" i="4"/>
  <c r="K114" i="4"/>
  <c r="K14" i="4"/>
  <c r="E55" i="4"/>
  <c r="E57" i="4"/>
  <c r="K38" i="4"/>
  <c r="K73" i="4"/>
  <c r="K102" i="4"/>
  <c r="F55" i="4"/>
  <c r="F57" i="4"/>
  <c r="F7" i="4"/>
  <c r="K106" i="4"/>
  <c r="G7" i="4"/>
  <c r="G55" i="4"/>
  <c r="G57" i="4"/>
  <c r="K11" i="4"/>
  <c r="K39" i="4"/>
  <c r="K108" i="4"/>
  <c r="K32" i="4"/>
  <c r="I69" i="4"/>
  <c r="I75" i="4"/>
  <c r="K49" i="4"/>
  <c r="K50" i="4"/>
  <c r="I93" i="4"/>
  <c r="K107" i="4"/>
  <c r="K72" i="4"/>
  <c r="K103" i="4"/>
  <c r="K74" i="4"/>
  <c r="J114" i="4"/>
  <c r="J113" i="4"/>
  <c r="J110" i="4"/>
  <c r="J109" i="4"/>
  <c r="J111" i="4"/>
  <c r="K20" i="4"/>
  <c r="E69" i="4"/>
  <c r="K68" i="4"/>
  <c r="K98" i="4"/>
  <c r="K104" i="4"/>
  <c r="K110" i="4"/>
  <c r="I7" i="4"/>
  <c r="I55" i="4"/>
  <c r="I57" i="4"/>
  <c r="K40" i="4"/>
  <c r="D93" i="4"/>
  <c r="J93" i="4"/>
  <c r="J91" i="4"/>
  <c r="J92" i="4"/>
  <c r="K8" i="4"/>
  <c r="K29" i="4"/>
  <c r="K35" i="4"/>
  <c r="K41" i="4"/>
  <c r="F69" i="4"/>
  <c r="F93" i="4"/>
  <c r="J99" i="4"/>
  <c r="J107" i="4"/>
  <c r="J101" i="4"/>
  <c r="J102" i="4"/>
  <c r="J106" i="4"/>
  <c r="J98" i="4"/>
  <c r="J105" i="4"/>
  <c r="J103" i="4"/>
  <c r="J108" i="4"/>
  <c r="J104" i="4"/>
  <c r="J100" i="4"/>
  <c r="K109" i="4"/>
  <c r="K13" i="4"/>
  <c r="K34" i="4"/>
  <c r="J71" i="4"/>
  <c r="J74" i="4"/>
  <c r="J70" i="4"/>
  <c r="D69" i="4"/>
  <c r="D75" i="4"/>
  <c r="J75" i="4" s="1"/>
  <c r="J72" i="4"/>
  <c r="J73" i="4"/>
  <c r="J66" i="4"/>
  <c r="J67" i="4"/>
  <c r="J68" i="4"/>
  <c r="K10" i="4"/>
  <c r="K22" i="4"/>
  <c r="G69" i="4"/>
  <c r="G75" i="4"/>
  <c r="K71" i="4"/>
  <c r="G93" i="4"/>
  <c r="K99" i="4"/>
  <c r="K111" i="4"/>
  <c r="K18" i="4"/>
  <c r="K66" i="4"/>
  <c r="C69" i="4"/>
  <c r="K91" i="4"/>
  <c r="C93" i="4"/>
  <c r="K93" i="4"/>
  <c r="K28" i="4"/>
  <c r="C27" i="4"/>
  <c r="K52" i="4"/>
  <c r="K30" i="4"/>
  <c r="K36" i="4"/>
  <c r="K42" i="4"/>
  <c r="K56" i="4"/>
  <c r="H69" i="4"/>
  <c r="H93" i="4"/>
  <c r="J69" i="4"/>
  <c r="J56" i="4"/>
  <c r="J55" i="4"/>
  <c r="K55" i="4"/>
  <c r="B59" i="4" l="1"/>
  <c r="B94" i="4"/>
  <c r="J112" i="4"/>
  <c r="F75" i="4"/>
  <c r="C75" i="4"/>
  <c r="K75" i="4" s="1"/>
  <c r="K69" i="4"/>
  <c r="K46" i="4"/>
  <c r="C26" i="4"/>
  <c r="J27" i="4"/>
  <c r="D26" i="4"/>
  <c r="J44" i="4"/>
  <c r="K43" i="4"/>
  <c r="K27" i="4"/>
  <c r="C7" i="4"/>
  <c r="K26" i="4"/>
  <c r="G25" i="4"/>
  <c r="F25" i="4"/>
  <c r="K15" i="4"/>
  <c r="I25" i="4"/>
  <c r="E25" i="4"/>
  <c r="H7" i="4"/>
  <c r="H25" i="4" s="1"/>
  <c r="J57" i="4"/>
  <c r="C77" i="4"/>
  <c r="K57" i="4"/>
  <c r="J26" i="4" l="1"/>
  <c r="D7" i="4"/>
  <c r="K7" i="4" s="1"/>
  <c r="C25" i="4"/>
  <c r="L21" i="4" l="1"/>
  <c r="J7" i="4"/>
  <c r="L19" i="4"/>
  <c r="L15" i="4"/>
  <c r="L24" i="4"/>
  <c r="L7" i="4"/>
  <c r="L23" i="4"/>
  <c r="L16" i="4"/>
  <c r="L12" i="4"/>
  <c r="L10" i="4"/>
  <c r="D25" i="4"/>
  <c r="L17" i="4"/>
  <c r="L13" i="4"/>
  <c r="L8" i="4"/>
  <c r="L20" i="4"/>
  <c r="L9" i="4"/>
  <c r="L18" i="4"/>
  <c r="L14" i="4"/>
  <c r="L22" i="4"/>
  <c r="L11" i="4"/>
  <c r="J25" i="4" l="1"/>
  <c r="L25" i="4"/>
  <c r="K25" i="4"/>
</calcChain>
</file>

<file path=xl/sharedStrings.xml><?xml version="1.0" encoding="utf-8"?>
<sst xmlns="http://schemas.openxmlformats.org/spreadsheetml/2006/main" count="373" uniqueCount="124">
  <si>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</si>
  <si>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</si>
  <si>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</si>
  <si>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</si>
  <si>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</si>
  <si>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</si>
  <si>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</si>
  <si>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</si>
  <si>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</si>
  <si>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</si>
  <si>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</si>
  <si>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</si>
  <si>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</si>
  <si>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</si>
  <si>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</si>
  <si>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</si>
  <si>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</si>
  <si>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</si>
  <si>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</si>
  <si>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</si>
  <si>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</si>
  <si>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</si>
  <si>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</si>
  <si>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</si>
  <si>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</si>
  <si>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</si>
  <si>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</si>
  <si>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</si>
  <si>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</si>
  <si>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</si>
  <si>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</si>
  <si>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</si>
  <si>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</si>
  <si>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</si>
  <si>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</si>
  <si>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</si>
  <si>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</si>
  <si>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</si>
  <si>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</si>
  <si>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</si>
  <si>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</si>
  <si>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</si>
  <si>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</si>
  <si>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</si>
  <si>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</si>
  <si>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</si>
  <si>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</si>
  <si>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</si>
  <si>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</si>
  <si>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</si>
  <si>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</si>
  <si>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</si>
  <si>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</si>
  <si>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</si>
  <si>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</si>
  <si>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</si>
  <si>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</si>
  <si>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</si>
  <si>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</si>
  <si>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</si>
  <si>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</si>
  <si>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</si>
  <si>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</si>
  <si>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</si>
  <si>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</si>
  <si>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</si>
  <si>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</si>
  <si>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</si>
  <si>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</si>
  <si>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</si>
  <si>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</si>
  <si>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</si>
  <si>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</si>
  <si>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</si>
  <si>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</si>
  <si>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</si>
  <si>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</si>
  <si>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</si>
  <si>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</si>
  <si>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</si>
  <si>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</si>
  <si>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</si>
  <si>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</si>
  <si>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</si>
  <si>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</si>
  <si>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</si>
  <si>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</si>
  <si>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</si>
  <si>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</si>
  <si>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</si>
  <si>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</si>
  <si>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</si>
  <si>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</si>
  <si>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</si>
  <si>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</si>
  <si>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</si>
  <si>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</si>
  <si>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</si>
  <si>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</si>
  <si>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</si>
  <si>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</si>
  <si>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</si>
  <si>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</si>
  <si>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</si>
  <si>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</si>
  <si>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</si>
  <si>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</si>
  <si>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</si>
  <si>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</si>
  <si>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</si>
  <si>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</si>
  <si>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</si>
  <si>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</si>
  <si>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</si>
  <si>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</si>
  <si>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</si>
  <si>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</si>
  <si>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</si>
  <si>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</si>
  <si>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</si>
  <si>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</si>
  <si>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</si>
  <si>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</si>
  <si>
    <t>otrzymane ze środków z Funduszu Przeciwdziałania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</si>
</sst>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6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7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7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10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167" fontId="34" fillId="0" borderId="10" xfId="0" applyNumberFormat="1" applyFont="1" applyBorder="1" applyAlignment="1">
      <alignment vertical="center" wrapText="1"/>
    </xf>
    <xf numFmtId="0" fontId="2" fillId="0" borderId="10" xfId="0" applyNumberFormat="1" applyFont="1" applyBorder="1"/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right" vertical="center" wrapText="1"/>
    </xf>
    <xf numFmtId="0" fontId="6" fillId="0" borderId="0" xfId="0" applyFont="1"/>
    <xf numFmtId="0" fontId="11" fillId="0" borderId="10" xfId="0" applyFont="1" applyBorder="1" applyAlignment="1">
      <alignment horizontal="center" vertical="center"/>
    </xf>
    <xf numFmtId="3" fontId="34" fillId="0" borderId="10" xfId="0" applyNumberFormat="1" applyFont="1" applyBorder="1" applyAlignment="1">
      <alignment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1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45.7109375" style="1" customWidth="1"/>
    <col min="3" max="3" width="14.5703125" style="1" customWidth="1"/>
    <col min="4" max="4" width="15.7109375" style="1" customWidth="1"/>
    <col min="5" max="5" width="14.5703125" style="1" customWidth="1" outlineLevel="1"/>
    <col min="6" max="6" width="15.71093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2.85546875" style="1" customWidth="1"/>
    <col min="14" max="16384" width="9.140625" style="1"/>
  </cols>
  <sheetData>
    <row r="1" spans="2:13" ht="20.25" x14ac:dyDescent="0.2">
      <c r="B1" s="86" t="str">
        <f>CONCATENATE("Informacja z wykonania budżetów jednostek samorządu terytorialnego za ",$D$129," ",$C$130," roku")</f>
        <v>Informacja z wykonania budżetów jednostek samorządu terytorialnego za I Kwartał 2026 roku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3" spans="2:13" ht="57.75" x14ac:dyDescent="0.2">
      <c r="B3" s="105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05"/>
      <c r="C4" s="107" t="s">
        <v>64</v>
      </c>
      <c r="D4" s="108"/>
      <c r="E4" s="108"/>
      <c r="F4" s="108"/>
      <c r="G4" s="108"/>
      <c r="H4" s="108"/>
      <c r="I4" s="109"/>
      <c r="J4" s="106" t="s">
        <v>4</v>
      </c>
      <c r="K4" s="106"/>
      <c r="L4" s="106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x14ac:dyDescent="0.2">
      <c r="B6" s="56" t="s">
        <v>5</v>
      </c>
      <c r="C6" s="57">
        <f>480342371819.96</f>
        <v>480342371819.96002</v>
      </c>
      <c r="D6" s="57">
        <f>148953574406.66</f>
        <v>148953574406.66</v>
      </c>
      <c r="E6" s="57">
        <f>1710404032.28</f>
        <v>1710404032.28</v>
      </c>
      <c r="F6" s="57">
        <f>257950450.78</f>
        <v>257950450.78</v>
      </c>
      <c r="G6" s="57">
        <f>31831979.58</f>
        <v>31831979.579999998</v>
      </c>
      <c r="H6" s="57">
        <f>104674338.55</f>
        <v>104674338.55</v>
      </c>
      <c r="I6" s="57">
        <f>3834086.79</f>
        <v>3834086.79</v>
      </c>
      <c r="J6" s="58">
        <f t="shared" ref="J6:J53" si="0">IF($D$6=0,"",100*$D6/$D$6)</f>
        <v>100</v>
      </c>
      <c r="K6" s="58">
        <f t="shared" ref="K6:K53" si="1">IF(C6=0,"",100*D6/C6)</f>
        <v>31.009876110302876</v>
      </c>
      <c r="L6" s="58"/>
    </row>
    <row r="7" spans="2:13" ht="25.5" x14ac:dyDescent="0.2">
      <c r="B7" s="75" t="s">
        <v>46</v>
      </c>
      <c r="C7" s="25">
        <f>C6-C26-C50</f>
        <v>341070498808.28998</v>
      </c>
      <c r="D7" s="25">
        <f>D6-D26-D50</f>
        <v>114283885928.09999</v>
      </c>
      <c r="E7" s="25">
        <f>E6</f>
        <v>1710404032.28</v>
      </c>
      <c r="F7" s="25">
        <f>F6</f>
        <v>257950450.78</v>
      </c>
      <c r="G7" s="25">
        <f>G6</f>
        <v>31831979.579999998</v>
      </c>
      <c r="H7" s="25">
        <f>H6</f>
        <v>104674338.55</v>
      </c>
      <c r="I7" s="25">
        <f>I6</f>
        <v>3834086.79</v>
      </c>
      <c r="J7" s="34">
        <f t="shared" si="0"/>
        <v>76.724500491738553</v>
      </c>
      <c r="K7" s="34">
        <f t="shared" si="1"/>
        <v>33.507408681610151</v>
      </c>
      <c r="L7" s="34">
        <f t="shared" ref="L7:L25" si="2">IF($D$7=0,"",100*$D7/$D$7)</f>
        <v>100.00000000000001</v>
      </c>
    </row>
    <row r="8" spans="2:13" outlineLevel="1" x14ac:dyDescent="0.2">
      <c r="B8" s="31" t="s">
        <v>99</v>
      </c>
      <c r="C8" s="23">
        <f>193170284207.14</f>
        <v>193170284207.14001</v>
      </c>
      <c r="D8" s="23">
        <f>74304950974</f>
        <v>74304950974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49.884637726879333</v>
      </c>
      <c r="K8" s="35">
        <f t="shared" si="1"/>
        <v>38.466035953191145</v>
      </c>
      <c r="L8" s="35">
        <f t="shared" si="2"/>
        <v>65.017872266565959</v>
      </c>
    </row>
    <row r="9" spans="2:13" outlineLevel="1" x14ac:dyDescent="0.2">
      <c r="B9" s="31" t="s">
        <v>100</v>
      </c>
      <c r="C9" s="23">
        <f>27464842852.81</f>
        <v>27464842852.810001</v>
      </c>
      <c r="D9" s="23">
        <f>6866200134</f>
        <v>6866200134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4.6096242814922332</v>
      </c>
      <c r="K9" s="35">
        <f t="shared" si="1"/>
        <v>24.999961480928338</v>
      </c>
      <c r="L9" s="35">
        <f t="shared" si="2"/>
        <v>6.008021234349493</v>
      </c>
    </row>
    <row r="10" spans="2:13" outlineLevel="1" x14ac:dyDescent="0.2">
      <c r="B10" s="31" t="s">
        <v>107</v>
      </c>
      <c r="C10" s="23">
        <f>39170096035.59</f>
        <v>39170096035.589996</v>
      </c>
      <c r="D10" s="23">
        <f>11816673496.07</f>
        <v>11816673496.07</v>
      </c>
      <c r="E10" s="23">
        <f>998758128.51</f>
        <v>998758128.50999999</v>
      </c>
      <c r="F10" s="23">
        <f>254960455.22</f>
        <v>254960455.22</v>
      </c>
      <c r="G10" s="23">
        <f>23488935.69</f>
        <v>23488935.690000001</v>
      </c>
      <c r="H10" s="23">
        <f>79004095.28</f>
        <v>79004095.280000001</v>
      </c>
      <c r="I10" s="24">
        <f>3189335.48</f>
        <v>3189335.48</v>
      </c>
      <c r="J10" s="35">
        <f t="shared" si="0"/>
        <v>7.9331251654352064</v>
      </c>
      <c r="K10" s="35">
        <f t="shared" si="1"/>
        <v>30.167588778269412</v>
      </c>
      <c r="L10" s="35">
        <f t="shared" si="2"/>
        <v>10.339754725792474</v>
      </c>
    </row>
    <row r="11" spans="2:13" outlineLevel="1" x14ac:dyDescent="0.2">
      <c r="B11" s="31" t="s">
        <v>108</v>
      </c>
      <c r="C11" s="23">
        <f>2002010413.08</f>
        <v>2002010413.0799999</v>
      </c>
      <c r="D11" s="23">
        <f>836977516.72</f>
        <v>836977516.72000003</v>
      </c>
      <c r="E11" s="23">
        <f>27298123.31</f>
        <v>27298123.309999999</v>
      </c>
      <c r="F11" s="23">
        <f>1478616.95</f>
        <v>1478616.95</v>
      </c>
      <c r="G11" s="23">
        <f>352084.07</f>
        <v>352084.07</v>
      </c>
      <c r="H11" s="23">
        <f>678477.3</f>
        <v>678477.3</v>
      </c>
      <c r="I11" s="24">
        <f>2501.52</f>
        <v>2501.52</v>
      </c>
      <c r="J11" s="35">
        <f t="shared" si="0"/>
        <v>0.56190495599317225</v>
      </c>
      <c r="K11" s="35">
        <f t="shared" si="1"/>
        <v>41.806851315640714</v>
      </c>
      <c r="L11" s="35">
        <f t="shared" si="2"/>
        <v>0.73236704363253102</v>
      </c>
    </row>
    <row r="12" spans="2:13" outlineLevel="1" x14ac:dyDescent="0.2">
      <c r="B12" s="31" t="s">
        <v>109</v>
      </c>
      <c r="C12" s="23">
        <f>445646028.03</f>
        <v>445646028.02999997</v>
      </c>
      <c r="D12" s="23">
        <f>145410986.11</f>
        <v>145410986.11000001</v>
      </c>
      <c r="E12" s="23">
        <f>883218.28</f>
        <v>883218.28</v>
      </c>
      <c r="F12" s="23">
        <f>313524.07</f>
        <v>313524.07</v>
      </c>
      <c r="G12" s="23">
        <f>27378.36</f>
        <v>27378.36</v>
      </c>
      <c r="H12" s="23">
        <f>17402.33</f>
        <v>17402.330000000002</v>
      </c>
      <c r="I12" s="24">
        <f>0</f>
        <v>0</v>
      </c>
      <c r="J12" s="35">
        <f t="shared" si="0"/>
        <v>9.7621682923171541E-2</v>
      </c>
      <c r="K12" s="35">
        <f t="shared" si="1"/>
        <v>32.629256621627796</v>
      </c>
      <c r="L12" s="35">
        <f t="shared" si="2"/>
        <v>0.12723664839458049</v>
      </c>
    </row>
    <row r="13" spans="2:13" outlineLevel="1" x14ac:dyDescent="0.2">
      <c r="B13" s="31" t="s">
        <v>19</v>
      </c>
      <c r="C13" s="23">
        <f>1556947600.65</f>
        <v>1556947600.6500001</v>
      </c>
      <c r="D13" s="23">
        <f>706935187.75</f>
        <v>706935187.75</v>
      </c>
      <c r="E13" s="23">
        <f>676122825.54</f>
        <v>676122825.53999996</v>
      </c>
      <c r="F13" s="23">
        <f>1185936.54</f>
        <v>1185936.54</v>
      </c>
      <c r="G13" s="23">
        <f>593689.13</f>
        <v>593689.13</v>
      </c>
      <c r="H13" s="23">
        <f>5956139.1</f>
        <v>5956139.0999999996</v>
      </c>
      <c r="I13" s="24">
        <f>24197</f>
        <v>24197</v>
      </c>
      <c r="J13" s="35">
        <f t="shared" si="0"/>
        <v>0.47460102287977829</v>
      </c>
      <c r="K13" s="35">
        <f t="shared" si="1"/>
        <v>45.40520101350014</v>
      </c>
      <c r="L13" s="35">
        <f t="shared" si="2"/>
        <v>0.61857818537493359</v>
      </c>
    </row>
    <row r="14" spans="2:13" outlineLevel="1" x14ac:dyDescent="0.2">
      <c r="B14" s="31" t="s">
        <v>24</v>
      </c>
      <c r="C14" s="23">
        <f>3869085873.18</f>
        <v>3869085873.1799998</v>
      </c>
      <c r="D14" s="23">
        <f>1134575470.9</f>
        <v>1134575470.9000001</v>
      </c>
      <c r="E14" s="23">
        <f>0</f>
        <v>0</v>
      </c>
      <c r="F14" s="23">
        <f>0</f>
        <v>0</v>
      </c>
      <c r="G14" s="23">
        <f>28995.42</f>
        <v>28995.42</v>
      </c>
      <c r="H14" s="23">
        <f>317650.57</f>
        <v>317650.57</v>
      </c>
      <c r="I14" s="24">
        <f>0</f>
        <v>0</v>
      </c>
      <c r="J14" s="35">
        <f t="shared" si="0"/>
        <v>0.76169737813909832</v>
      </c>
      <c r="K14" s="35">
        <f t="shared" si="1"/>
        <v>29.324122236850048</v>
      </c>
      <c r="L14" s="35">
        <f t="shared" si="2"/>
        <v>0.99276941949086461</v>
      </c>
    </row>
    <row r="15" spans="2:13" ht="22.5" outlineLevel="1" x14ac:dyDescent="0.2">
      <c r="B15" s="31" t="s">
        <v>110</v>
      </c>
      <c r="C15" s="23">
        <f>178599778.06</f>
        <v>178599778.06</v>
      </c>
      <c r="D15" s="23">
        <f>26991250.38</f>
        <v>26991250.379999999</v>
      </c>
      <c r="E15" s="23">
        <f>0</f>
        <v>0</v>
      </c>
      <c r="F15" s="23">
        <f>0</f>
        <v>0</v>
      </c>
      <c r="G15" s="23">
        <f>1067.68</f>
        <v>1067.68</v>
      </c>
      <c r="H15" s="23">
        <f>111772.63</f>
        <v>111772.63</v>
      </c>
      <c r="I15" s="24">
        <f>0</f>
        <v>0</v>
      </c>
      <c r="J15" s="35">
        <f t="shared" si="0"/>
        <v>1.8120579172078714E-2</v>
      </c>
      <c r="K15" s="35">
        <f t="shared" si="1"/>
        <v>15.112700963677781</v>
      </c>
      <c r="L15" s="35">
        <f t="shared" si="2"/>
        <v>2.3617721921864947E-2</v>
      </c>
    </row>
    <row r="16" spans="2:13" outlineLevel="1" x14ac:dyDescent="0.2">
      <c r="B16" s="31" t="s">
        <v>111</v>
      </c>
      <c r="C16" s="23">
        <f>650720975.78</f>
        <v>650720975.77999997</v>
      </c>
      <c r="D16" s="23">
        <f>178468084.14</f>
        <v>178468084.13999999</v>
      </c>
      <c r="E16" s="23">
        <f>0</f>
        <v>0</v>
      </c>
      <c r="F16" s="23">
        <f>0</f>
        <v>0</v>
      </c>
      <c r="G16" s="23">
        <f>480</f>
        <v>480</v>
      </c>
      <c r="H16" s="23">
        <f>0</f>
        <v>0</v>
      </c>
      <c r="I16" s="24">
        <f>0</f>
        <v>0</v>
      </c>
      <c r="J16" s="35">
        <f t="shared" si="0"/>
        <v>0.11981456964084801</v>
      </c>
      <c r="K16" s="35">
        <f t="shared" si="1"/>
        <v>27.426207358088554</v>
      </c>
      <c r="L16" s="35">
        <f t="shared" si="2"/>
        <v>0.15616207192349107</v>
      </c>
    </row>
    <row r="17" spans="2:12" outlineLevel="1" x14ac:dyDescent="0.2">
      <c r="B17" s="31" t="s">
        <v>25</v>
      </c>
      <c r="C17" s="23">
        <f>571594314.71</f>
        <v>571594314.71000004</v>
      </c>
      <c r="D17" s="23">
        <f>299316014.13</f>
        <v>299316014.13</v>
      </c>
      <c r="E17" s="23">
        <f>0</f>
        <v>0</v>
      </c>
      <c r="F17" s="23">
        <f>0</f>
        <v>0</v>
      </c>
      <c r="G17" s="23">
        <f>0</f>
        <v>0</v>
      </c>
      <c r="H17" s="23">
        <f>912235.27</f>
        <v>912235.27</v>
      </c>
      <c r="I17" s="24">
        <f>0</f>
        <v>0</v>
      </c>
      <c r="J17" s="35">
        <f t="shared" si="0"/>
        <v>0.2009458418989219</v>
      </c>
      <c r="K17" s="35">
        <f t="shared" si="1"/>
        <v>52.365113932572754</v>
      </c>
      <c r="L17" s="35">
        <f t="shared" si="2"/>
        <v>0.26190570236499505</v>
      </c>
    </row>
    <row r="18" spans="2:12" outlineLevel="1" x14ac:dyDescent="0.2">
      <c r="B18" s="31" t="s">
        <v>112</v>
      </c>
      <c r="C18" s="23">
        <f>574179364.14</f>
        <v>574179364.13999999</v>
      </c>
      <c r="D18" s="23">
        <f>158436284.59</f>
        <v>158436284.59</v>
      </c>
      <c r="E18" s="23">
        <f>0</f>
        <v>0</v>
      </c>
      <c r="F18" s="23">
        <f>0</f>
        <v>0</v>
      </c>
      <c r="G18" s="23">
        <f>1522294.68</f>
        <v>1522294.68</v>
      </c>
      <c r="H18" s="23">
        <f>6500292.84</f>
        <v>6500292.8399999999</v>
      </c>
      <c r="I18" s="24">
        <f>0</f>
        <v>0</v>
      </c>
      <c r="J18" s="35">
        <f t="shared" si="0"/>
        <v>0.10636621861617844</v>
      </c>
      <c r="K18" s="35">
        <f t="shared" si="1"/>
        <v>27.5935177202518</v>
      </c>
      <c r="L18" s="35">
        <f t="shared" si="2"/>
        <v>0.13863396690035359</v>
      </c>
    </row>
    <row r="19" spans="2:12" outlineLevel="1" x14ac:dyDescent="0.2">
      <c r="B19" s="31" t="s">
        <v>26</v>
      </c>
      <c r="C19" s="23">
        <f>125362858.6</f>
        <v>125362858.59999999</v>
      </c>
      <c r="D19" s="23">
        <f>16456791.15</f>
        <v>16456791.15</v>
      </c>
      <c r="E19" s="23">
        <f>152868.14</f>
        <v>152868.14000000001</v>
      </c>
      <c r="F19" s="23">
        <f>0</f>
        <v>0</v>
      </c>
      <c r="G19" s="23">
        <f>0</f>
        <v>0</v>
      </c>
      <c r="H19" s="23">
        <f>12716</f>
        <v>12716</v>
      </c>
      <c r="I19" s="24">
        <f>0</f>
        <v>0</v>
      </c>
      <c r="J19" s="35">
        <f t="shared" si="0"/>
        <v>1.104826870758476E-2</v>
      </c>
      <c r="K19" s="35">
        <f>IF(C19=0,"",100*D19/C19)</f>
        <v>13.127326014883966</v>
      </c>
      <c r="L19" s="35">
        <f t="shared" si="2"/>
        <v>1.4399922628071595E-2</v>
      </c>
    </row>
    <row r="20" spans="2:12" outlineLevel="1" x14ac:dyDescent="0.2">
      <c r="B20" s="31" t="s">
        <v>113</v>
      </c>
      <c r="C20" s="23">
        <f>87800290.71</f>
        <v>87800290.709999993</v>
      </c>
      <c r="D20" s="23">
        <f>14679101.96</f>
        <v>14679101.960000001</v>
      </c>
      <c r="E20" s="23">
        <f>114665.31</f>
        <v>114665.31</v>
      </c>
      <c r="F20" s="23">
        <f>0</f>
        <v>0</v>
      </c>
      <c r="G20" s="23">
        <f>0</f>
        <v>0</v>
      </c>
      <c r="H20" s="23">
        <f>0</f>
        <v>0</v>
      </c>
      <c r="I20" s="24">
        <f>0</f>
        <v>0</v>
      </c>
      <c r="J20" s="35">
        <f t="shared" si="0"/>
        <v>9.8548168571802128E-3</v>
      </c>
      <c r="K20" s="35">
        <f>IF(C20=0,"",100*D20/C20)</f>
        <v>16.718739586505865</v>
      </c>
      <c r="L20" s="35">
        <f t="shared" si="2"/>
        <v>1.2844419701684925E-2</v>
      </c>
    </row>
    <row r="21" spans="2:12" outlineLevel="1" x14ac:dyDescent="0.2">
      <c r="B21" s="31" t="s">
        <v>114</v>
      </c>
      <c r="C21" s="23">
        <f>136960745</f>
        <v>136960745</v>
      </c>
      <c r="D21" s="23">
        <f>25996614.59</f>
        <v>25996614.59</v>
      </c>
      <c r="E21" s="23">
        <f>262270.69</f>
        <v>262270.69</v>
      </c>
      <c r="F21" s="23">
        <f>0</f>
        <v>0</v>
      </c>
      <c r="G21" s="23">
        <f>0</f>
        <v>0</v>
      </c>
      <c r="H21" s="23">
        <f>0</f>
        <v>0</v>
      </c>
      <c r="I21" s="24">
        <f>0</f>
        <v>0</v>
      </c>
      <c r="J21" s="35">
        <f t="shared" si="0"/>
        <v>1.7452830315455418E-2</v>
      </c>
      <c r="K21" s="35">
        <f>IF(C21=0,"",100*D21/C21)</f>
        <v>18.981069787551171</v>
      </c>
      <c r="L21" s="35">
        <f t="shared" si="2"/>
        <v>2.2747401682119372E-2</v>
      </c>
    </row>
    <row r="22" spans="2:12" outlineLevel="1" x14ac:dyDescent="0.2">
      <c r="B22" s="31" t="s">
        <v>115</v>
      </c>
      <c r="C22" s="23">
        <f>3265231</f>
        <v>3265231</v>
      </c>
      <c r="D22" s="23">
        <f>1629160.06</f>
        <v>1629160.06</v>
      </c>
      <c r="E22" s="23">
        <f>756063.5</f>
        <v>756063.5</v>
      </c>
      <c r="F22" s="23">
        <f>0</f>
        <v>0</v>
      </c>
      <c r="G22" s="23">
        <f>0</f>
        <v>0</v>
      </c>
      <c r="H22" s="23">
        <f>287.86</f>
        <v>287.86</v>
      </c>
      <c r="I22" s="24">
        <f>0</f>
        <v>0</v>
      </c>
      <c r="J22" s="35">
        <f t="shared" si="0"/>
        <v>1.0937368012077439E-3</v>
      </c>
      <c r="K22" s="35">
        <f>IF(C22=0,"",100*D22/C22)</f>
        <v>49.894174715357046</v>
      </c>
      <c r="L22" s="35">
        <f t="shared" si="2"/>
        <v>1.4255378584387319E-3</v>
      </c>
    </row>
    <row r="23" spans="2:12" outlineLevel="1" x14ac:dyDescent="0.2">
      <c r="B23" s="31" t="s">
        <v>116</v>
      </c>
      <c r="C23" s="23">
        <f>2440373.78</f>
        <v>2440373.7799999998</v>
      </c>
      <c r="D23" s="23">
        <f>790671.86</f>
        <v>790671.86</v>
      </c>
      <c r="E23" s="23">
        <f>440717</f>
        <v>440717</v>
      </c>
      <c r="F23" s="23">
        <f>0</f>
        <v>0</v>
      </c>
      <c r="G23" s="23">
        <f>0</f>
        <v>0</v>
      </c>
      <c r="H23" s="23">
        <f>0</f>
        <v>0</v>
      </c>
      <c r="I23" s="24">
        <f>0</f>
        <v>0</v>
      </c>
      <c r="J23" s="35">
        <f t="shared" si="0"/>
        <v>5.3081764781379257E-4</v>
      </c>
      <c r="K23" s="35">
        <f>IF(C23=0,"",100*D23/C23)</f>
        <v>32.399621176064272</v>
      </c>
      <c r="L23" s="35">
        <f t="shared" si="2"/>
        <v>6.9184894578876979E-4</v>
      </c>
    </row>
    <row r="24" spans="2:12" outlineLevel="1" x14ac:dyDescent="0.2">
      <c r="B24" s="31" t="s">
        <v>20</v>
      </c>
      <c r="C24" s="23">
        <f>11735156475.38</f>
        <v>11735156475.379999</v>
      </c>
      <c r="D24" s="23">
        <f>2575601083.17</f>
        <v>2575601083.1700001</v>
      </c>
      <c r="E24" s="23">
        <f>0</f>
        <v>0</v>
      </c>
      <c r="F24" s="23">
        <f>0</f>
        <v>0</v>
      </c>
      <c r="G24" s="23">
        <f>0</f>
        <v>0</v>
      </c>
      <c r="H24" s="23">
        <f>0</f>
        <v>0</v>
      </c>
      <c r="I24" s="24">
        <f>0</f>
        <v>0</v>
      </c>
      <c r="J24" s="35">
        <f t="shared" si="0"/>
        <v>1.7291300953532807</v>
      </c>
      <c r="K24" s="35">
        <f t="shared" si="1"/>
        <v>21.947735324821043</v>
      </c>
      <c r="L24" s="35">
        <f t="shared" si="2"/>
        <v>2.2536870025494244</v>
      </c>
    </row>
    <row r="25" spans="2:12" outlineLevel="1" x14ac:dyDescent="0.2">
      <c r="B25" s="31" t="s">
        <v>21</v>
      </c>
      <c r="C25" s="23">
        <f>C7-C8-C9-C10-C11-C12-C13-C14-C15-C16-C17-C18-C19-C20-C21-C22-C23-C24</f>
        <v>59325505390.649971</v>
      </c>
      <c r="D25" s="23">
        <f t="shared" ref="D25:I25" si="3">D7-D8-D9-D10-D11-D12-D13-D14-D15-D16-D17-D18-D19-D20-D21-D22-D23-D24</f>
        <v>15173797106.519983</v>
      </c>
      <c r="E25" s="23">
        <f t="shared" si="3"/>
        <v>5615152.0000001052</v>
      </c>
      <c r="F25" s="23">
        <f t="shared" si="3"/>
        <v>11918.000000002328</v>
      </c>
      <c r="G25" s="23">
        <f t="shared" si="3"/>
        <v>5817054.549999997</v>
      </c>
      <c r="H25" s="23">
        <f t="shared" si="3"/>
        <v>11163269.370000001</v>
      </c>
      <c r="I25" s="23">
        <f t="shared" si="3"/>
        <v>618052.79</v>
      </c>
      <c r="J25" s="35">
        <f t="shared" si="0"/>
        <v>10.186930502985991</v>
      </c>
      <c r="K25" s="35">
        <f t="shared" si="1"/>
        <v>25.577189788106647</v>
      </c>
      <c r="L25" s="35">
        <f t="shared" si="2"/>
        <v>13.277284879922924</v>
      </c>
    </row>
    <row r="26" spans="2:12" ht="25.5" x14ac:dyDescent="0.2">
      <c r="B26" s="76" t="s">
        <v>88</v>
      </c>
      <c r="C26" s="57">
        <f>C27+C46+C48</f>
        <v>88674422446.720001</v>
      </c>
      <c r="D26" s="57">
        <f>D27+D46+D48</f>
        <v>17095706581.82</v>
      </c>
      <c r="E26" s="59" t="s">
        <v>45</v>
      </c>
      <c r="F26" s="59" t="s">
        <v>45</v>
      </c>
      <c r="G26" s="59" t="s">
        <v>45</v>
      </c>
      <c r="H26" s="59" t="s">
        <v>45</v>
      </c>
      <c r="I26" s="59" t="s">
        <v>45</v>
      </c>
      <c r="J26" s="58">
        <f t="shared" si="0"/>
        <v>11.477204659182464</v>
      </c>
      <c r="K26" s="58">
        <f t="shared" si="1"/>
        <v>19.279185711180638</v>
      </c>
      <c r="L26" s="60"/>
    </row>
    <row r="27" spans="2:12" ht="25.5" outlineLevel="1" x14ac:dyDescent="0.2">
      <c r="B27" s="81" t="s">
        <v>47</v>
      </c>
      <c r="C27" s="57">
        <f>C28+C30+C32+C34+C36+C38+C40+C42+C44</f>
        <v>53503511153.059998</v>
      </c>
      <c r="D27" s="57">
        <f>D28+D30+D32+D34+D36+D38+D40+D42+D44</f>
        <v>13175853851.42</v>
      </c>
      <c r="E27" s="59" t="s">
        <v>45</v>
      </c>
      <c r="F27" s="59" t="s">
        <v>45</v>
      </c>
      <c r="G27" s="59" t="s">
        <v>45</v>
      </c>
      <c r="H27" s="59" t="s">
        <v>45</v>
      </c>
      <c r="I27" s="59" t="s">
        <v>45</v>
      </c>
      <c r="J27" s="58">
        <f t="shared" si="0"/>
        <v>8.8456110596234758</v>
      </c>
      <c r="K27" s="58">
        <f t="shared" si="1"/>
        <v>24.626148018075334</v>
      </c>
      <c r="L27" s="60"/>
    </row>
    <row r="28" spans="2:12" outlineLevel="1" x14ac:dyDescent="0.2">
      <c r="B28" s="80" t="s">
        <v>9</v>
      </c>
      <c r="C28" s="24">
        <f>24846733587.68</f>
        <v>24846733587.68</v>
      </c>
      <c r="D28" s="24">
        <f>8420013416.87</f>
        <v>8420013416.8699999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5.6527770148586143</v>
      </c>
      <c r="K28" s="35">
        <f t="shared" si="1"/>
        <v>33.887808178717613</v>
      </c>
      <c r="L28" s="30"/>
    </row>
    <row r="29" spans="2:12" outlineLevel="1" x14ac:dyDescent="0.2">
      <c r="B29" s="82" t="s">
        <v>6</v>
      </c>
      <c r="C29" s="24">
        <f>353860153.58</f>
        <v>353860153.57999998</v>
      </c>
      <c r="D29" s="24">
        <f>25527852.47</f>
        <v>25527852.469999999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1.713812681010668E-2</v>
      </c>
      <c r="K29" s="35">
        <f t="shared" si="1"/>
        <v>7.2141076670359592</v>
      </c>
      <c r="L29" s="30"/>
    </row>
    <row r="30" spans="2:12" outlineLevel="1" x14ac:dyDescent="0.2">
      <c r="B30" s="80" t="s">
        <v>7</v>
      </c>
      <c r="C30" s="24">
        <f>7829438073.59</f>
        <v>7829438073.5900002</v>
      </c>
      <c r="D30" s="24">
        <f>1716285592.02</f>
        <v>1716285592.02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1.1522285375538202</v>
      </c>
      <c r="K30" s="35">
        <f t="shared" si="1"/>
        <v>21.920929393506764</v>
      </c>
      <c r="L30" s="30"/>
    </row>
    <row r="31" spans="2:12" outlineLevel="1" x14ac:dyDescent="0.2">
      <c r="B31" s="82" t="s">
        <v>6</v>
      </c>
      <c r="C31" s="24">
        <f>1945710978.59</f>
        <v>1945710978.5899999</v>
      </c>
      <c r="D31" s="24">
        <f>90258244.53</f>
        <v>90258244.530000001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6.0594883264489405E-2</v>
      </c>
      <c r="K31" s="35">
        <f t="shared" si="1"/>
        <v>4.6388310249144773</v>
      </c>
      <c r="L31" s="30"/>
    </row>
    <row r="32" spans="2:12" ht="22.5" outlineLevel="1" x14ac:dyDescent="0.2">
      <c r="B32" s="80" t="s">
        <v>10</v>
      </c>
      <c r="C32" s="24">
        <f>316796591.5</f>
        <v>316796591.5</v>
      </c>
      <c r="D32" s="24">
        <f>59524015.21</f>
        <v>59524015.210000001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3.9961454733199453E-2</v>
      </c>
      <c r="K32" s="35">
        <f t="shared" si="1"/>
        <v>18.78934837277124</v>
      </c>
      <c r="L32" s="30"/>
    </row>
    <row r="33" spans="2:12" outlineLevel="1" x14ac:dyDescent="0.2">
      <c r="B33" s="82" t="s">
        <v>6</v>
      </c>
      <c r="C33" s="24">
        <f>31593373.18</f>
        <v>31593373.18</v>
      </c>
      <c r="D33" s="24">
        <f>863762</f>
        <v>863762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5.798867220479266E-4</v>
      </c>
      <c r="K33" s="35">
        <f t="shared" si="1"/>
        <v>2.7339973958424912</v>
      </c>
      <c r="L33" s="30"/>
    </row>
    <row r="34" spans="2:12" ht="22.5" outlineLevel="1" x14ac:dyDescent="0.2">
      <c r="B34" s="80" t="s">
        <v>11</v>
      </c>
      <c r="C34" s="24">
        <f>2442754307.43</f>
        <v>2442754307.4299998</v>
      </c>
      <c r="D34" s="24">
        <f>495195979.7</f>
        <v>495195979.69999999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0.33244988022110789</v>
      </c>
      <c r="K34" s="35">
        <f t="shared" si="1"/>
        <v>20.272033834667202</v>
      </c>
      <c r="L34" s="30"/>
    </row>
    <row r="35" spans="2:12" outlineLevel="1" x14ac:dyDescent="0.2">
      <c r="B35" s="82" t="s">
        <v>6</v>
      </c>
      <c r="C35" s="24">
        <f>480384785.98</f>
        <v>480384785.98000002</v>
      </c>
      <c r="D35" s="24">
        <f>15062889.21</f>
        <v>15062889.210000001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1.0112472473387325E-2</v>
      </c>
      <c r="K35" s="35">
        <f t="shared" si="1"/>
        <v>3.1355883137038227</v>
      </c>
      <c r="L35" s="30"/>
    </row>
    <row r="36" spans="2:12" ht="22.5" outlineLevel="1" x14ac:dyDescent="0.2">
      <c r="B36" s="80" t="s">
        <v>65</v>
      </c>
      <c r="C36" s="24">
        <f>2335151947.53</f>
        <v>2335151947.5300002</v>
      </c>
      <c r="D36" s="24">
        <f>252135647.82</f>
        <v>252135647.81999999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0.16927129733163793</v>
      </c>
      <c r="K36" s="35">
        <f t="shared" si="1"/>
        <v>10.797397920366411</v>
      </c>
      <c r="L36" s="30"/>
    </row>
    <row r="37" spans="2:12" outlineLevel="1" x14ac:dyDescent="0.2">
      <c r="B37" s="82" t="s">
        <v>6</v>
      </c>
      <c r="C37" s="24">
        <f>1930653081.43</f>
        <v>1930653081.4300001</v>
      </c>
      <c r="D37" s="24">
        <f>149495198.61</f>
        <v>149495198.61000001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0.1003636194737169</v>
      </c>
      <c r="K37" s="35">
        <f t="shared" si="1"/>
        <v>7.7432450214862847</v>
      </c>
      <c r="L37" s="30"/>
    </row>
    <row r="38" spans="2:12" outlineLevel="1" x14ac:dyDescent="0.2">
      <c r="B38" s="80" t="s">
        <v>8</v>
      </c>
      <c r="C38" s="24">
        <f>1159902072.89</f>
        <v>1159902072.8900001</v>
      </c>
      <c r="D38" s="24">
        <f>96396838.52</f>
        <v>96396838.519999996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6.471602907415018E-2</v>
      </c>
      <c r="K38" s="35">
        <f t="shared" si="1"/>
        <v>8.3107738810931355</v>
      </c>
      <c r="L38" s="30"/>
    </row>
    <row r="39" spans="2:12" outlineLevel="1" x14ac:dyDescent="0.2">
      <c r="B39" s="82" t="s">
        <v>6</v>
      </c>
      <c r="C39" s="24">
        <f>1051039957.63</f>
        <v>1051039957.63</v>
      </c>
      <c r="D39" s="24">
        <f>56351011.27</f>
        <v>56351011.270000003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3.7831258158434924E-2</v>
      </c>
      <c r="K39" s="35">
        <f t="shared" si="1"/>
        <v>5.3614528030947968</v>
      </c>
      <c r="L39" s="30"/>
    </row>
    <row r="40" spans="2:12" ht="33.75" outlineLevel="1" x14ac:dyDescent="0.2">
      <c r="B40" s="80" t="s">
        <v>81</v>
      </c>
      <c r="C40" s="24">
        <f>16500280.8</f>
        <v>16500280.800000001</v>
      </c>
      <c r="D40" s="24">
        <f>0</f>
        <v>0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0</v>
      </c>
      <c r="K40" s="35">
        <f t="shared" si="1"/>
        <v>0</v>
      </c>
      <c r="L40" s="30"/>
    </row>
    <row r="41" spans="2:12" outlineLevel="1" x14ac:dyDescent="0.2">
      <c r="B41" s="82" t="s">
        <v>79</v>
      </c>
      <c r="C41" s="24">
        <f>15741645.8</f>
        <v>15741645.800000001</v>
      </c>
      <c r="D41" s="24">
        <f>0</f>
        <v>0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0</v>
      </c>
      <c r="K41" s="35">
        <f t="shared" si="1"/>
        <v>0</v>
      </c>
      <c r="L41" s="30"/>
    </row>
    <row r="42" spans="2:12" ht="22.5" outlineLevel="1" x14ac:dyDescent="0.2">
      <c r="B42" s="83" t="s">
        <v>123</v>
      </c>
      <c r="C42" s="24">
        <f>14350814925.31</f>
        <v>14350814925.309999</v>
      </c>
      <c r="D42" s="24">
        <f>1976961052.5</f>
        <v>1976961052.5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1.3272330391365259</v>
      </c>
      <c r="K42" s="35">
        <f t="shared" si="1"/>
        <v>13.775949747726919</v>
      </c>
      <c r="L42" s="30"/>
    </row>
    <row r="43" spans="2:12" outlineLevel="1" x14ac:dyDescent="0.2">
      <c r="B43" s="84" t="s">
        <v>6</v>
      </c>
      <c r="C43" s="24">
        <f>14344863748.3</f>
        <v>14344863748.299999</v>
      </c>
      <c r="D43" s="24">
        <f>1975015772.1</f>
        <v>1975015772.0999999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1.3259270749072358</v>
      </c>
      <c r="K43" s="35">
        <f t="shared" si="1"/>
        <v>13.768104087667322</v>
      </c>
      <c r="L43" s="30"/>
    </row>
    <row r="44" spans="2:12" ht="22.5" outlineLevel="1" x14ac:dyDescent="0.2">
      <c r="B44" s="83" t="s">
        <v>89</v>
      </c>
      <c r="C44" s="24">
        <f>205419366.33</f>
        <v>205419366.33000001</v>
      </c>
      <c r="D44" s="24">
        <f>159341308.78</f>
        <v>159341308.78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0.10697380671441983</v>
      </c>
      <c r="K44" s="35">
        <f t="shared" si="1"/>
        <v>77.568786053026272</v>
      </c>
      <c r="L44" s="30"/>
    </row>
    <row r="45" spans="2:12" outlineLevel="1" x14ac:dyDescent="0.2">
      <c r="B45" s="84" t="s">
        <v>6</v>
      </c>
      <c r="C45" s="24">
        <f>0</f>
        <v>0</v>
      </c>
      <c r="D45" s="24">
        <f>0</f>
        <v>0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0</v>
      </c>
      <c r="K45" s="35" t="str">
        <f t="shared" si="1"/>
        <v/>
      </c>
      <c r="L45" s="30"/>
    </row>
    <row r="46" spans="2:12" outlineLevel="1" x14ac:dyDescent="0.2">
      <c r="B46" s="81" t="s">
        <v>57</v>
      </c>
      <c r="C46" s="57">
        <f>3497218052.82</f>
        <v>3497218052.8200002</v>
      </c>
      <c r="D46" s="57">
        <f>515940850</f>
        <v>515940850</v>
      </c>
      <c r="E46" s="59" t="s">
        <v>45</v>
      </c>
      <c r="F46" s="59" t="s">
        <v>45</v>
      </c>
      <c r="G46" s="59" t="s">
        <v>45</v>
      </c>
      <c r="H46" s="59" t="s">
        <v>45</v>
      </c>
      <c r="I46" s="59" t="s">
        <v>45</v>
      </c>
      <c r="J46" s="58">
        <f t="shared" si="0"/>
        <v>0.3463769513791079</v>
      </c>
      <c r="K46" s="58">
        <f t="shared" si="1"/>
        <v>14.752893362882203</v>
      </c>
      <c r="L46" s="30"/>
    </row>
    <row r="47" spans="2:12" outlineLevel="1" x14ac:dyDescent="0.2">
      <c r="B47" s="87" t="s">
        <v>58</v>
      </c>
      <c r="C47" s="23">
        <f>1949628608.7</f>
        <v>1949628608.7</v>
      </c>
      <c r="D47" s="23">
        <f>146054406.62</f>
        <v>146054406.62</v>
      </c>
      <c r="E47" s="23" t="s">
        <v>45</v>
      </c>
      <c r="F47" s="23" t="s">
        <v>45</v>
      </c>
      <c r="G47" s="23" t="s">
        <v>45</v>
      </c>
      <c r="H47" s="23" t="s">
        <v>45</v>
      </c>
      <c r="I47" s="23" t="s">
        <v>45</v>
      </c>
      <c r="J47" s="35">
        <f t="shared" si="0"/>
        <v>9.8053643359544404E-2</v>
      </c>
      <c r="K47" s="35">
        <f t="shared" si="1"/>
        <v>7.4913963597091522</v>
      </c>
      <c r="L47" s="30"/>
    </row>
    <row r="48" spans="2:12" outlineLevel="1" x14ac:dyDescent="0.2">
      <c r="B48" s="81" t="s">
        <v>70</v>
      </c>
      <c r="C48" s="57">
        <f>31673693240.84</f>
        <v>31673693240.84</v>
      </c>
      <c r="D48" s="57">
        <f>3403911880.4</f>
        <v>3403911880.4000001</v>
      </c>
      <c r="E48" s="59" t="s">
        <v>45</v>
      </c>
      <c r="F48" s="59" t="s">
        <v>45</v>
      </c>
      <c r="G48" s="59" t="s">
        <v>45</v>
      </c>
      <c r="H48" s="59" t="s">
        <v>45</v>
      </c>
      <c r="I48" s="59" t="s">
        <v>45</v>
      </c>
      <c r="J48" s="58">
        <f t="shared" si="0"/>
        <v>2.2852166481798806</v>
      </c>
      <c r="K48" s="58">
        <f t="shared" si="1"/>
        <v>10.746810782428753</v>
      </c>
      <c r="L48" s="30"/>
    </row>
    <row r="49" spans="1:26" outlineLevel="1" x14ac:dyDescent="0.2">
      <c r="B49" s="87" t="s">
        <v>71</v>
      </c>
      <c r="C49" s="23">
        <f>25051681948.07</f>
        <v>25051681948.07</v>
      </c>
      <c r="D49" s="23">
        <f>1863389357.04</f>
        <v>1863389357.04</v>
      </c>
      <c r="E49" s="23" t="s">
        <v>45</v>
      </c>
      <c r="F49" s="23" t="s">
        <v>45</v>
      </c>
      <c r="G49" s="23" t="s">
        <v>45</v>
      </c>
      <c r="H49" s="23" t="s">
        <v>45</v>
      </c>
      <c r="I49" s="23" t="s">
        <v>45</v>
      </c>
      <c r="J49" s="35">
        <f t="shared" si="0"/>
        <v>1.2509866678007588</v>
      </c>
      <c r="K49" s="35">
        <f t="shared" si="1"/>
        <v>7.4381806415339584</v>
      </c>
      <c r="L49" s="30"/>
    </row>
    <row r="50" spans="1:26" x14ac:dyDescent="0.2">
      <c r="B50" s="76" t="s">
        <v>101</v>
      </c>
      <c r="C50" s="57">
        <f>50597450564.95</f>
        <v>50597450564.949997</v>
      </c>
      <c r="D50" s="57">
        <f>17573981896.74</f>
        <v>17573981896.740002</v>
      </c>
      <c r="E50" s="59" t="s">
        <v>45</v>
      </c>
      <c r="F50" s="59" t="s">
        <v>45</v>
      </c>
      <c r="G50" s="59" t="s">
        <v>45</v>
      </c>
      <c r="H50" s="59" t="s">
        <v>45</v>
      </c>
      <c r="I50" s="59" t="s">
        <v>45</v>
      </c>
      <c r="J50" s="58">
        <f t="shared" si="0"/>
        <v>11.798294849078987</v>
      </c>
      <c r="K50" s="58">
        <f t="shared" si="1"/>
        <v>34.732939506864994</v>
      </c>
      <c r="L50" s="30"/>
    </row>
    <row r="51" spans="1:26" outlineLevel="1" x14ac:dyDescent="0.2">
      <c r="B51" s="31" t="s">
        <v>35</v>
      </c>
      <c r="C51" s="23">
        <f>3193822</f>
        <v>3193822</v>
      </c>
      <c r="D51" s="23">
        <f>0</f>
        <v>0</v>
      </c>
      <c r="E51" s="23" t="s">
        <v>45</v>
      </c>
      <c r="F51" s="23" t="s">
        <v>45</v>
      </c>
      <c r="G51" s="23" t="s">
        <v>45</v>
      </c>
      <c r="H51" s="23" t="s">
        <v>45</v>
      </c>
      <c r="I51" s="23" t="s">
        <v>45</v>
      </c>
      <c r="J51" s="35">
        <f t="shared" si="0"/>
        <v>0</v>
      </c>
      <c r="K51" s="35">
        <f t="shared" si="1"/>
        <v>0</v>
      </c>
      <c r="L51" s="30"/>
    </row>
    <row r="52" spans="1:26" ht="22.5" outlineLevel="1" x14ac:dyDescent="0.2">
      <c r="B52" s="31" t="s">
        <v>102</v>
      </c>
      <c r="C52" s="23">
        <f>103363052.97</f>
        <v>103363052.97</v>
      </c>
      <c r="D52" s="23">
        <f>0</f>
        <v>0</v>
      </c>
      <c r="E52" s="23" t="s">
        <v>45</v>
      </c>
      <c r="F52" s="23" t="s">
        <v>45</v>
      </c>
      <c r="G52" s="23" t="s">
        <v>45</v>
      </c>
      <c r="H52" s="23" t="s">
        <v>45</v>
      </c>
      <c r="I52" s="23" t="s">
        <v>45</v>
      </c>
      <c r="J52" s="35">
        <f t="shared" si="0"/>
        <v>0</v>
      </c>
      <c r="K52" s="35">
        <f t="shared" si="1"/>
        <v>0</v>
      </c>
      <c r="L52" s="30"/>
    </row>
    <row r="53" spans="1:26" outlineLevel="1" x14ac:dyDescent="0.2">
      <c r="B53" s="87" t="s">
        <v>6</v>
      </c>
      <c r="C53" s="23">
        <f>83054881.52</f>
        <v>83054881.519999996</v>
      </c>
      <c r="D53" s="23">
        <f>0</f>
        <v>0</v>
      </c>
      <c r="E53" s="23" t="s">
        <v>45</v>
      </c>
      <c r="F53" s="23" t="s">
        <v>45</v>
      </c>
      <c r="G53" s="23" t="s">
        <v>45</v>
      </c>
      <c r="H53" s="23" t="s">
        <v>45</v>
      </c>
      <c r="I53" s="23" t="s">
        <v>45</v>
      </c>
      <c r="J53" s="35">
        <f t="shared" si="0"/>
        <v>0</v>
      </c>
      <c r="K53" s="35">
        <f t="shared" si="1"/>
        <v>0</v>
      </c>
      <c r="L53" s="30"/>
    </row>
    <row r="54" spans="1:26" s="6" customForma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x14ac:dyDescent="0.2">
      <c r="A55" s="3"/>
      <c r="B55" s="61" t="s">
        <v>5</v>
      </c>
      <c r="C55" s="62">
        <f t="shared" ref="C55:I55" si="4">+C6</f>
        <v>480342371819.96002</v>
      </c>
      <c r="D55" s="62">
        <f t="shared" si="4"/>
        <v>148953574406.66</v>
      </c>
      <c r="E55" s="62">
        <f t="shared" si="4"/>
        <v>1710404032.28</v>
      </c>
      <c r="F55" s="62">
        <f t="shared" si="4"/>
        <v>257950450.78</v>
      </c>
      <c r="G55" s="62">
        <f t="shared" si="4"/>
        <v>31831979.579999998</v>
      </c>
      <c r="H55" s="62">
        <f t="shared" si="4"/>
        <v>104674338.55</v>
      </c>
      <c r="I55" s="62">
        <f t="shared" si="4"/>
        <v>3834086.79</v>
      </c>
      <c r="J55" s="63">
        <f>IF($D$55=0,"",100*$D55/$D$55)</f>
        <v>100</v>
      </c>
      <c r="K55" s="63">
        <f>IF(C55=0,"",100*D55/C55)</f>
        <v>31.009876110302876</v>
      </c>
      <c r="L55" s="4"/>
    </row>
    <row r="56" spans="1:26" s="6" customFormat="1" x14ac:dyDescent="0.2">
      <c r="A56" s="3"/>
      <c r="B56" s="54" t="s">
        <v>60</v>
      </c>
      <c r="C56" s="55">
        <f>62424107903.84</f>
        <v>62424107903.839996</v>
      </c>
      <c r="D56" s="55">
        <f>6394040810.30999</f>
        <v>6394040810.3099899</v>
      </c>
      <c r="E56" s="55">
        <f>0</f>
        <v>0</v>
      </c>
      <c r="F56" s="55">
        <f>0</f>
        <v>0</v>
      </c>
      <c r="G56" s="55">
        <f>0</f>
        <v>0</v>
      </c>
      <c r="H56" s="55">
        <f>0</f>
        <v>0</v>
      </c>
      <c r="I56" s="55">
        <f>0</f>
        <v>0</v>
      </c>
      <c r="J56" s="36">
        <f>IF($D$55=0,"",100*$D56/$D$55)</f>
        <v>4.2926400630397366</v>
      </c>
      <c r="K56" s="36">
        <f>IF(C56=0,"",100*D56/C56)</f>
        <v>10.242902982545727</v>
      </c>
      <c r="L56" s="4"/>
    </row>
    <row r="57" spans="1:26" s="6" customFormat="1" x14ac:dyDescent="0.2">
      <c r="A57" s="3"/>
      <c r="B57" s="54" t="s">
        <v>61</v>
      </c>
      <c r="C57" s="55">
        <f>+C55-C56</f>
        <v>417918263916.12</v>
      </c>
      <c r="D57" s="55">
        <f t="shared" ref="D57:I57" si="5">+D55-D56</f>
        <v>142559533596.35001</v>
      </c>
      <c r="E57" s="55">
        <f t="shared" si="5"/>
        <v>1710404032.28</v>
      </c>
      <c r="F57" s="55">
        <f t="shared" si="5"/>
        <v>257950450.78</v>
      </c>
      <c r="G57" s="55">
        <f t="shared" si="5"/>
        <v>31831979.579999998</v>
      </c>
      <c r="H57" s="55">
        <f t="shared" si="5"/>
        <v>104674338.55</v>
      </c>
      <c r="I57" s="55">
        <f t="shared" si="5"/>
        <v>3834086.79</v>
      </c>
      <c r="J57" s="36">
        <f>IF($D$55=0,"",100*$D57/$D$55)</f>
        <v>95.707359936960259</v>
      </c>
      <c r="K57" s="36">
        <f>IF(C57=0,"",100*D57/C57)</f>
        <v>34.111821833410708</v>
      </c>
      <c r="L57" s="4"/>
    </row>
    <row r="58" spans="1:26" s="6" customFormat="1" x14ac:dyDescent="0.2">
      <c r="A58" s="3"/>
      <c r="B58" s="91" t="s">
        <v>90</v>
      </c>
      <c r="C58" s="91"/>
      <c r="D58" s="91"/>
      <c r="E58" s="91"/>
      <c r="F58" s="91"/>
      <c r="G58" s="16"/>
      <c r="H58" s="16"/>
      <c r="I58" s="16"/>
      <c r="J58" s="16"/>
      <c r="K58" s="10"/>
      <c r="L58" s="10"/>
      <c r="M58" s="4"/>
    </row>
    <row r="59" spans="1:26" ht="20.25" x14ac:dyDescent="0.2">
      <c r="B59" s="86" t="str">
        <f>CONCATENATE("Informacja z wykonania budżetów jednostek samorządu terytorialnego za ",$D$129," ",$C$130," roku")</f>
        <v>Informacja z wykonania budżetów jednostek samorządu terytorialnego za I Kwartał 2026 roku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26" s="6" customForma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35.450000000000003" customHeight="1" x14ac:dyDescent="0.2">
      <c r="B61" s="105" t="s">
        <v>0</v>
      </c>
      <c r="C61" s="110" t="s">
        <v>41</v>
      </c>
      <c r="D61" s="110" t="s">
        <v>43</v>
      </c>
      <c r="E61" s="110" t="s">
        <v>42</v>
      </c>
      <c r="F61" s="110" t="s">
        <v>12</v>
      </c>
      <c r="G61" s="110"/>
      <c r="H61" s="110"/>
      <c r="I61" s="121" t="s">
        <v>72</v>
      </c>
      <c r="J61" s="121" t="s">
        <v>2</v>
      </c>
      <c r="K61" s="118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">
      <c r="B62" s="105"/>
      <c r="C62" s="110"/>
      <c r="D62" s="110"/>
      <c r="E62" s="110"/>
      <c r="F62" s="111" t="s">
        <v>44</v>
      </c>
      <c r="G62" s="124" t="s">
        <v>27</v>
      </c>
      <c r="H62" s="113"/>
      <c r="I62" s="122"/>
      <c r="J62" s="122"/>
      <c r="K62" s="119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5.25" x14ac:dyDescent="0.2">
      <c r="B63" s="105"/>
      <c r="C63" s="110"/>
      <c r="D63" s="110"/>
      <c r="E63" s="110"/>
      <c r="F63" s="113"/>
      <c r="G63" s="18" t="s">
        <v>39</v>
      </c>
      <c r="H63" s="18" t="s">
        <v>40</v>
      </c>
      <c r="I63" s="123"/>
      <c r="J63" s="123"/>
      <c r="K63" s="120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">
      <c r="B64" s="105"/>
      <c r="C64" s="107" t="s">
        <v>64</v>
      </c>
      <c r="D64" s="108"/>
      <c r="E64" s="108"/>
      <c r="F64" s="108"/>
      <c r="G64" s="108"/>
      <c r="H64" s="109"/>
      <c r="I64" s="71"/>
      <c r="J64" s="106" t="s">
        <v>4</v>
      </c>
      <c r="K64" s="106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5.5" x14ac:dyDescent="0.2">
      <c r="B66" s="56" t="s">
        <v>48</v>
      </c>
      <c r="C66" s="62">
        <f>527546745587.39</f>
        <v>527546745587.39001</v>
      </c>
      <c r="D66" s="62">
        <f>104251793623.27</f>
        <v>104251793623.27</v>
      </c>
      <c r="E66" s="62">
        <f>335244657179.51</f>
        <v>335244657179.51001</v>
      </c>
      <c r="F66" s="62">
        <f>12563654543.99</f>
        <v>12563654543.99</v>
      </c>
      <c r="G66" s="62">
        <f>9129157.76</f>
        <v>9129157.7599999998</v>
      </c>
      <c r="H66" s="62">
        <f>6948813.55</f>
        <v>6948813.5499999998</v>
      </c>
      <c r="I66" s="68">
        <f>0</f>
        <v>0</v>
      </c>
      <c r="J66" s="50">
        <f>IF($D$66=0,"",100*$D66/$D$66)</f>
        <v>100</v>
      </c>
      <c r="K66" s="50">
        <f>IF(C66=0,"",100*D66/C66)</f>
        <v>19.761621978577882</v>
      </c>
    </row>
    <row r="67" spans="2:26" x14ac:dyDescent="0.2">
      <c r="B67" s="75" t="s">
        <v>14</v>
      </c>
      <c r="C67" s="27">
        <f>128800196350.17</f>
        <v>128800196350.17</v>
      </c>
      <c r="D67" s="27">
        <f>9217135372.03001</f>
        <v>9217135372.0300102</v>
      </c>
      <c r="E67" s="27">
        <f>56770313274.2601</f>
        <v>56770313274.260101</v>
      </c>
      <c r="F67" s="27">
        <f>2013929954.61</f>
        <v>2013929954.6099999</v>
      </c>
      <c r="G67" s="27">
        <f>2757938.71</f>
        <v>2757938.71</v>
      </c>
      <c r="H67" s="27">
        <f>2171120.12</f>
        <v>2171120.12</v>
      </c>
      <c r="I67" s="69">
        <f>0</f>
        <v>0</v>
      </c>
      <c r="J67" s="50">
        <f t="shared" ref="J67:J75" si="6">IF($D$66=0,"",100*$D67/$D$66)</f>
        <v>8.8412247422212751</v>
      </c>
      <c r="K67" s="50">
        <f t="shared" ref="K67:K75" si="7">IF(C67=0,"",100*D67/C67)</f>
        <v>7.1561500938797629</v>
      </c>
    </row>
    <row r="68" spans="2:26" outlineLevel="1" x14ac:dyDescent="0.2">
      <c r="B68" s="31" t="s">
        <v>13</v>
      </c>
      <c r="C68" s="23">
        <f>124250107996.77</f>
        <v>124250107996.77</v>
      </c>
      <c r="D68" s="23">
        <f>8157692686.88001</f>
        <v>8157692686.8800097</v>
      </c>
      <c r="E68" s="23">
        <f>54974675224.3701</f>
        <v>54974675224.370102</v>
      </c>
      <c r="F68" s="23">
        <f>1973670607.13</f>
        <v>1973670607.1300001</v>
      </c>
      <c r="G68" s="23">
        <f>2757938.71</f>
        <v>2757938.71</v>
      </c>
      <c r="H68" s="23">
        <f>2171120.12</f>
        <v>2171120.12</v>
      </c>
      <c r="I68" s="70">
        <f>0</f>
        <v>0</v>
      </c>
      <c r="J68" s="50">
        <f t="shared" si="6"/>
        <v>7.8249902503923288</v>
      </c>
      <c r="K68" s="50">
        <f t="shared" si="7"/>
        <v>6.5655417274100687</v>
      </c>
    </row>
    <row r="69" spans="2:26" ht="25.5" x14ac:dyDescent="0.2">
      <c r="B69" s="76" t="s">
        <v>49</v>
      </c>
      <c r="C69" s="62">
        <f t="shared" ref="C69:I69" si="8">C66-C67</f>
        <v>398746549237.22003</v>
      </c>
      <c r="D69" s="62">
        <f t="shared" si="8"/>
        <v>95034658251.23999</v>
      </c>
      <c r="E69" s="62">
        <f t="shared" si="8"/>
        <v>278474343905.24988</v>
      </c>
      <c r="F69" s="62">
        <f t="shared" si="8"/>
        <v>10549724589.379999</v>
      </c>
      <c r="G69" s="62">
        <f t="shared" si="8"/>
        <v>6371219.0499999998</v>
      </c>
      <c r="H69" s="62">
        <f t="shared" si="8"/>
        <v>4777693.43</v>
      </c>
      <c r="I69" s="68">
        <f t="shared" si="8"/>
        <v>0</v>
      </c>
      <c r="J69" s="50">
        <f t="shared" si="6"/>
        <v>91.158775257778728</v>
      </c>
      <c r="K69" s="50">
        <f t="shared" si="7"/>
        <v>23.833349387734142</v>
      </c>
    </row>
    <row r="70" spans="2:26" outlineLevel="1" x14ac:dyDescent="0.2">
      <c r="B70" s="31" t="s">
        <v>86</v>
      </c>
      <c r="C70" s="23">
        <f>188017770701.78</f>
        <v>188017770701.78</v>
      </c>
      <c r="D70" s="23">
        <f>50871178261.5901</f>
        <v>50871178261.590103</v>
      </c>
      <c r="E70" s="23">
        <f>157326147884.24</f>
        <v>157326147884.23999</v>
      </c>
      <c r="F70" s="23">
        <f>5204993845.55</f>
        <v>5204993845.5500002</v>
      </c>
      <c r="G70" s="23">
        <f>823129.61</f>
        <v>823129.61</v>
      </c>
      <c r="H70" s="23">
        <f>162463.49</f>
        <v>162463.49</v>
      </c>
      <c r="I70" s="70">
        <f>0</f>
        <v>0</v>
      </c>
      <c r="J70" s="50">
        <f t="shared" si="6"/>
        <v>48.796453752556992</v>
      </c>
      <c r="K70" s="50">
        <f t="shared" si="7"/>
        <v>27.05657984971976</v>
      </c>
    </row>
    <row r="71" spans="2:26" outlineLevel="1" x14ac:dyDescent="0.2">
      <c r="B71" s="31" t="s">
        <v>38</v>
      </c>
      <c r="C71" s="23">
        <f>55362442513.7</f>
        <v>55362442513.699997</v>
      </c>
      <c r="D71" s="23">
        <f>14117823318.8</f>
        <v>14117823318.799999</v>
      </c>
      <c r="E71" s="23">
        <f>34703718596.97</f>
        <v>34703718596.970001</v>
      </c>
      <c r="F71" s="23">
        <f>712464291.400001</f>
        <v>712464291.40000105</v>
      </c>
      <c r="G71" s="23">
        <f>47560.6</f>
        <v>47560.6</v>
      </c>
      <c r="H71" s="23">
        <f>79089.3</f>
        <v>79089.3</v>
      </c>
      <c r="I71" s="70">
        <f>0</f>
        <v>0</v>
      </c>
      <c r="J71" s="50">
        <f t="shared" si="6"/>
        <v>13.54204357367408</v>
      </c>
      <c r="K71" s="50">
        <f t="shared" si="7"/>
        <v>25.500723374526697</v>
      </c>
    </row>
    <row r="72" spans="2:26" outlineLevel="1" x14ac:dyDescent="0.2">
      <c r="B72" s="31" t="s">
        <v>37</v>
      </c>
      <c r="C72" s="23">
        <f>6829335046.32</f>
        <v>6829335046.3199997</v>
      </c>
      <c r="D72" s="23">
        <f>914870727.82</f>
        <v>914870727.82000005</v>
      </c>
      <c r="E72" s="23">
        <f>3032935768.69</f>
        <v>3032935768.6900001</v>
      </c>
      <c r="F72" s="23">
        <f>299859336.43</f>
        <v>299859336.43000001</v>
      </c>
      <c r="G72" s="23">
        <f>0</f>
        <v>0</v>
      </c>
      <c r="H72" s="23">
        <f>14772.81</f>
        <v>14772.81</v>
      </c>
      <c r="I72" s="70">
        <f>0</f>
        <v>0</v>
      </c>
      <c r="J72" s="50">
        <f t="shared" si="6"/>
        <v>0.87755874122034483</v>
      </c>
      <c r="K72" s="50">
        <f t="shared" si="7"/>
        <v>13.396190428715016</v>
      </c>
    </row>
    <row r="73" spans="2:26" outlineLevel="1" x14ac:dyDescent="0.2">
      <c r="B73" s="31" t="s">
        <v>55</v>
      </c>
      <c r="C73" s="23">
        <f>558646319.67</f>
        <v>558646319.66999996</v>
      </c>
      <c r="D73" s="23">
        <f>9574672.02</f>
        <v>9574672.0199999996</v>
      </c>
      <c r="E73" s="23">
        <f>63165103.51</f>
        <v>63165103.509999998</v>
      </c>
      <c r="F73" s="23">
        <f>96359.16</f>
        <v>96359.16</v>
      </c>
      <c r="G73" s="23">
        <f>0</f>
        <v>0</v>
      </c>
      <c r="H73" s="23">
        <f>0</f>
        <v>0</v>
      </c>
      <c r="I73" s="70">
        <f>0</f>
        <v>0</v>
      </c>
      <c r="J73" s="50">
        <f t="shared" si="6"/>
        <v>9.1841796550758258E-3</v>
      </c>
      <c r="K73" s="50">
        <f t="shared" si="7"/>
        <v>1.7139058618798186</v>
      </c>
    </row>
    <row r="74" spans="2:26" outlineLevel="1" x14ac:dyDescent="0.2">
      <c r="B74" s="31" t="s">
        <v>56</v>
      </c>
      <c r="C74" s="23">
        <f>22757596895.2</f>
        <v>22757596895.200001</v>
      </c>
      <c r="D74" s="23">
        <f>6610901464.98999</f>
        <v>6610901464.9899902</v>
      </c>
      <c r="E74" s="23">
        <f>15455084085.52</f>
        <v>15455084085.52</v>
      </c>
      <c r="F74" s="23">
        <f>340084224.06</f>
        <v>340084224.06</v>
      </c>
      <c r="G74" s="23">
        <f>868683.71</f>
        <v>868683.71</v>
      </c>
      <c r="H74" s="23">
        <f>50435.88</f>
        <v>50435.88</v>
      </c>
      <c r="I74" s="70">
        <f>0</f>
        <v>0</v>
      </c>
      <c r="J74" s="50">
        <f t="shared" si="6"/>
        <v>6.3412831906561786</v>
      </c>
      <c r="K74" s="50">
        <f t="shared" si="7"/>
        <v>29.04920715237887</v>
      </c>
    </row>
    <row r="75" spans="2:26" outlineLevel="1" x14ac:dyDescent="0.2">
      <c r="B75" s="31" t="s">
        <v>36</v>
      </c>
      <c r="C75" s="23">
        <f t="shared" ref="C75:I75" si="9">C69-C70-C71-C72-C73-C74</f>
        <v>125220757760.55003</v>
      </c>
      <c r="D75" s="23">
        <f t="shared" si="9"/>
        <v>22510309806.019897</v>
      </c>
      <c r="E75" s="23">
        <f t="shared" si="9"/>
        <v>67893292466.319885</v>
      </c>
      <c r="F75" s="23">
        <f t="shared" si="9"/>
        <v>3992226532.7799983</v>
      </c>
      <c r="G75" s="23">
        <f t="shared" si="9"/>
        <v>4631845.13</v>
      </c>
      <c r="H75" s="23">
        <f t="shared" si="9"/>
        <v>4470931.95</v>
      </c>
      <c r="I75" s="70">
        <f t="shared" si="9"/>
        <v>0</v>
      </c>
      <c r="J75" s="50">
        <f t="shared" si="6"/>
        <v>21.592251820016052</v>
      </c>
      <c r="K75" s="50">
        <f t="shared" si="7"/>
        <v>17.976500229350648</v>
      </c>
    </row>
    <row r="76" spans="2:26" x14ac:dyDescent="0.2">
      <c r="B76" s="20" t="s">
        <v>15</v>
      </c>
      <c r="C76" s="27">
        <f>C6-C66</f>
        <v>-47204373767.429993</v>
      </c>
      <c r="D76" s="27">
        <f>D6-D66</f>
        <v>44701780783.389999</v>
      </c>
      <c r="E76" s="29"/>
      <c r="F76" s="29"/>
      <c r="G76" s="14"/>
    </row>
    <row r="77" spans="2:26" ht="25.5" x14ac:dyDescent="0.2">
      <c r="B77" s="95" t="s">
        <v>121</v>
      </c>
      <c r="C77" s="51">
        <f>+C57-C69</f>
        <v>19171714678.899963</v>
      </c>
      <c r="D77" s="51">
        <f>+D57-D69</f>
        <v>47524875345.110016</v>
      </c>
      <c r="E77" s="29"/>
      <c r="F77" s="29"/>
      <c r="G77" s="14"/>
    </row>
    <row r="78" spans="2:26" outlineLevel="1" x14ac:dyDescent="0.2">
      <c r="B78" s="93"/>
      <c r="C78" s="94"/>
      <c r="D78" s="94"/>
      <c r="E78" s="29"/>
      <c r="F78" s="29"/>
      <c r="G78" s="14"/>
    </row>
    <row r="79" spans="2:26" outlineLevel="1" x14ac:dyDescent="0.2">
      <c r="B79" s="93"/>
      <c r="C79" s="94"/>
      <c r="D79" s="94"/>
      <c r="E79" s="29"/>
      <c r="F79" s="29"/>
      <c r="G79" s="14"/>
    </row>
    <row r="80" spans="2:26" outlineLevel="1" x14ac:dyDescent="0.2">
      <c r="B80" s="103" t="s">
        <v>117</v>
      </c>
      <c r="C80" s="104" t="s">
        <v>103</v>
      </c>
      <c r="D80" s="104"/>
      <c r="E80" s="104" t="s">
        <v>104</v>
      </c>
      <c r="F80" s="104"/>
      <c r="G80" s="101" t="s">
        <v>122</v>
      </c>
    </row>
    <row r="81" spans="2:13" outlineLevel="1" x14ac:dyDescent="0.2">
      <c r="B81" s="103"/>
      <c r="C81" s="98" t="s">
        <v>105</v>
      </c>
      <c r="D81" s="98" t="s">
        <v>106</v>
      </c>
      <c r="E81" s="98" t="s">
        <v>105</v>
      </c>
      <c r="F81" s="98" t="s">
        <v>106</v>
      </c>
      <c r="G81" s="98" t="s">
        <v>105</v>
      </c>
    </row>
    <row r="82" spans="2:13" outlineLevel="1" x14ac:dyDescent="0.2">
      <c r="B82" s="99" t="s">
        <v>118</v>
      </c>
      <c r="C82" s="102">
        <f>280</f>
        <v>280</v>
      </c>
      <c r="D82" s="96">
        <f>443124061.43</f>
        <v>443124061.43000001</v>
      </c>
      <c r="E82" s="102">
        <f>2515</f>
        <v>2515</v>
      </c>
      <c r="F82" s="96">
        <f>+-47647497828.8599</f>
        <v>-47647497828.859901</v>
      </c>
      <c r="G82" s="102">
        <f>14</f>
        <v>14</v>
      </c>
    </row>
    <row r="83" spans="2:13" outlineLevel="1" x14ac:dyDescent="0.2">
      <c r="B83" s="99" t="s">
        <v>119</v>
      </c>
      <c r="C83" s="102">
        <f>2789</f>
        <v>2789</v>
      </c>
      <c r="D83" s="96">
        <f>44798745976.79</f>
        <v>44798745976.790001</v>
      </c>
      <c r="E83" s="102">
        <f>20</f>
        <v>20</v>
      </c>
      <c r="F83" s="96">
        <f>+-96965193.4</f>
        <v>-96965193.400000006</v>
      </c>
      <c r="G83" s="102">
        <f>0</f>
        <v>0</v>
      </c>
    </row>
    <row r="84" spans="2:13" outlineLevel="1" x14ac:dyDescent="0.2">
      <c r="B84" s="100"/>
      <c r="C84" s="100"/>
      <c r="D84" s="100"/>
      <c r="E84" s="100"/>
      <c r="F84" s="100"/>
      <c r="G84" s="100"/>
    </row>
    <row r="85" spans="2:13" outlineLevel="1" x14ac:dyDescent="0.2">
      <c r="B85" s="103" t="s">
        <v>120</v>
      </c>
      <c r="C85" s="104" t="s">
        <v>103</v>
      </c>
      <c r="D85" s="104"/>
      <c r="E85" s="104" t="s">
        <v>104</v>
      </c>
      <c r="F85" s="104"/>
      <c r="G85" s="101" t="s">
        <v>122</v>
      </c>
    </row>
    <row r="86" spans="2:13" outlineLevel="1" x14ac:dyDescent="0.2">
      <c r="B86" s="103"/>
      <c r="C86" s="98" t="s">
        <v>105</v>
      </c>
      <c r="D86" s="98" t="s">
        <v>106</v>
      </c>
      <c r="E86" s="98" t="s">
        <v>105</v>
      </c>
      <c r="F86" s="98" t="s">
        <v>106</v>
      </c>
      <c r="G86" s="98" t="s">
        <v>105</v>
      </c>
    </row>
    <row r="87" spans="2:13" outlineLevel="1" x14ac:dyDescent="0.2">
      <c r="B87" s="99" t="s">
        <v>118</v>
      </c>
      <c r="C87" s="102">
        <f>2420</f>
        <v>2420</v>
      </c>
      <c r="D87" s="96">
        <f>20452562588.97</f>
        <v>20452562588.970001</v>
      </c>
      <c r="E87" s="102">
        <f>389</f>
        <v>389</v>
      </c>
      <c r="F87" s="96">
        <f>+-1280847910.07</f>
        <v>-1280847910.0699999</v>
      </c>
      <c r="G87" s="102">
        <f>0</f>
        <v>0</v>
      </c>
    </row>
    <row r="88" spans="2:13" outlineLevel="1" x14ac:dyDescent="0.2">
      <c r="B88" s="99" t="s">
        <v>119</v>
      </c>
      <c r="C88" s="102">
        <f>2809</f>
        <v>2809</v>
      </c>
      <c r="D88" s="96">
        <f>47524875345.11</f>
        <v>47524875345.110001</v>
      </c>
      <c r="E88" s="102">
        <f>0</f>
        <v>0</v>
      </c>
      <c r="F88" s="96">
        <f>0</f>
        <v>0</v>
      </c>
      <c r="G88" s="102">
        <f>0</f>
        <v>0</v>
      </c>
    </row>
    <row r="89" spans="2:13" x14ac:dyDescent="0.2">
      <c r="B89" s="52"/>
      <c r="C89" s="53"/>
      <c r="D89" s="53"/>
      <c r="E89" s="53"/>
      <c r="F89" s="2"/>
      <c r="G89" s="2"/>
      <c r="H89" s="2"/>
      <c r="I89" s="2"/>
      <c r="L89" s="11"/>
      <c r="M89" s="11"/>
    </row>
    <row r="90" spans="2:13" x14ac:dyDescent="0.2">
      <c r="B90" s="89" t="s">
        <v>91</v>
      </c>
      <c r="C90" s="53"/>
      <c r="D90" s="53"/>
      <c r="E90" s="53"/>
      <c r="F90" s="2"/>
      <c r="G90" s="2"/>
      <c r="H90" s="2"/>
      <c r="I90" s="2"/>
      <c r="L90" s="11"/>
      <c r="M90" s="11"/>
    </row>
    <row r="91" spans="2:13" ht="25.5" x14ac:dyDescent="0.2">
      <c r="B91" s="90" t="s">
        <v>59</v>
      </c>
      <c r="C91" s="62">
        <f>50834673774.4001</f>
        <v>50834673774.400101</v>
      </c>
      <c r="D91" s="62">
        <f>3984111518.48999</f>
        <v>3984111518.4899902</v>
      </c>
      <c r="E91" s="62">
        <f>22918518147.5299</f>
        <v>22918518147.5299</v>
      </c>
      <c r="F91" s="62">
        <f>657042933.669999</f>
        <v>657042933.669999</v>
      </c>
      <c r="G91" s="62">
        <f>194705</f>
        <v>194705</v>
      </c>
      <c r="H91" s="62">
        <f>15271.15</f>
        <v>15271.15</v>
      </c>
      <c r="I91" s="68">
        <f>0</f>
        <v>0</v>
      </c>
      <c r="J91" s="50">
        <f>IF($D$91=0,"",100*$D91/$D$91)</f>
        <v>100</v>
      </c>
      <c r="K91" s="50">
        <f>IF(C91=0,"",100*D91/C91)</f>
        <v>7.8373897630800853</v>
      </c>
      <c r="L91" s="11"/>
    </row>
    <row r="92" spans="2:13" x14ac:dyDescent="0.2">
      <c r="B92" s="54" t="s">
        <v>62</v>
      </c>
      <c r="C92" s="64">
        <f>40206802002.81</f>
        <v>40206802002.809998</v>
      </c>
      <c r="D92" s="64">
        <f>2378498414.62</f>
        <v>2378498414.6199999</v>
      </c>
      <c r="E92" s="64">
        <f>18212746277.07</f>
        <v>18212746277.07</v>
      </c>
      <c r="F92" s="64">
        <f>574988105.42</f>
        <v>574988105.41999996</v>
      </c>
      <c r="G92" s="64">
        <f>194705</f>
        <v>194705</v>
      </c>
      <c r="H92" s="64">
        <f>0</f>
        <v>0</v>
      </c>
      <c r="I92" s="73">
        <f>0</f>
        <v>0</v>
      </c>
      <c r="J92" s="50">
        <f>IF($D$91=0,"",100*$D92/$D$91)</f>
        <v>59.699594340709361</v>
      </c>
      <c r="K92" s="50">
        <f>IF(C92=0,"",100*D92/C92)</f>
        <v>5.9156617690055775</v>
      </c>
      <c r="L92" s="11"/>
    </row>
    <row r="93" spans="2:13" x14ac:dyDescent="0.2">
      <c r="B93" s="54" t="s">
        <v>63</v>
      </c>
      <c r="C93" s="64">
        <f t="shared" ref="C93:I93" si="10">C91-C92</f>
        <v>10627871771.590103</v>
      </c>
      <c r="D93" s="64">
        <f t="shared" si="10"/>
        <v>1605613103.8699903</v>
      </c>
      <c r="E93" s="64">
        <f t="shared" si="10"/>
        <v>4705771870.4598999</v>
      </c>
      <c r="F93" s="64">
        <f t="shared" si="10"/>
        <v>82054828.249999046</v>
      </c>
      <c r="G93" s="64">
        <f t="shared" si="10"/>
        <v>0</v>
      </c>
      <c r="H93" s="64">
        <f t="shared" si="10"/>
        <v>15271.15</v>
      </c>
      <c r="I93" s="73">
        <f t="shared" si="10"/>
        <v>0</v>
      </c>
      <c r="J93" s="50">
        <f>IF($D$91=0,"",100*$D93/$D$91)</f>
        <v>40.300405659290639</v>
      </c>
      <c r="K93" s="50">
        <f>IF(C93=0,"",100*D93/C93)</f>
        <v>15.107569402201813</v>
      </c>
    </row>
    <row r="94" spans="2:13" ht="20.25" x14ac:dyDescent="0.2">
      <c r="B94" s="86" t="str">
        <f>CONCATENATE("Informacja z wykonania budżetów jednostek samorządu terytorialnego za ",$D$129," ",$C$130," roku")</f>
        <v>Informacja z wykonania budżetów jednostek samorządu terytorialnego za I Kwartał 2026 roku</v>
      </c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</row>
    <row r="95" spans="2:13" x14ac:dyDescent="0.2">
      <c r="B95" s="41" t="s">
        <v>16</v>
      </c>
      <c r="C95" s="72" t="s">
        <v>17</v>
      </c>
      <c r="D95" s="72" t="s">
        <v>1</v>
      </c>
      <c r="E95" s="125" t="s">
        <v>45</v>
      </c>
      <c r="F95" s="126"/>
      <c r="G95" s="126"/>
      <c r="H95" s="126"/>
      <c r="I95" s="127"/>
      <c r="J95" s="19" t="s">
        <v>22</v>
      </c>
      <c r="K95" s="19" t="s">
        <v>23</v>
      </c>
    </row>
    <row r="96" spans="2:13" x14ac:dyDescent="0.2">
      <c r="B96" s="41"/>
      <c r="C96" s="111" t="s">
        <v>64</v>
      </c>
      <c r="D96" s="112"/>
      <c r="E96" s="128"/>
      <c r="F96" s="129"/>
      <c r="G96" s="129"/>
      <c r="H96" s="129"/>
      <c r="I96" s="130"/>
      <c r="J96" s="116" t="s">
        <v>4</v>
      </c>
      <c r="K96" s="117"/>
    </row>
    <row r="97" spans="2:11" x14ac:dyDescent="0.2">
      <c r="B97" s="39">
        <v>1</v>
      </c>
      <c r="C97" s="72">
        <v>2</v>
      </c>
      <c r="D97" s="72">
        <v>3</v>
      </c>
      <c r="E97" s="131"/>
      <c r="F97" s="132"/>
      <c r="G97" s="132"/>
      <c r="H97" s="132"/>
      <c r="I97" s="133"/>
      <c r="J97" s="40">
        <v>4</v>
      </c>
      <c r="K97" s="40">
        <v>5</v>
      </c>
    </row>
    <row r="98" spans="2:11" ht="25.5" x14ac:dyDescent="0.2">
      <c r="B98" s="38" t="s">
        <v>50</v>
      </c>
      <c r="C98" s="43">
        <f>60213765867.16</f>
        <v>60213765867.160004</v>
      </c>
      <c r="D98" s="43">
        <f>47833048293.61</f>
        <v>47833048293.610001</v>
      </c>
      <c r="E98" s="43" t="s">
        <v>45</v>
      </c>
      <c r="F98" s="43" t="s">
        <v>45</v>
      </c>
      <c r="G98" s="43" t="s">
        <v>45</v>
      </c>
      <c r="H98" s="43" t="s">
        <v>45</v>
      </c>
      <c r="I98" s="43" t="s">
        <v>45</v>
      </c>
      <c r="J98" s="42">
        <f>IF($D$98=0,"",100*$D98/$D$98)</f>
        <v>100</v>
      </c>
      <c r="K98" s="37">
        <f t="shared" ref="K98:K113" si="11">IF(C98=0,"",100*D98/C98)</f>
        <v>79.438725687970418</v>
      </c>
    </row>
    <row r="99" spans="2:11" ht="22.5" x14ac:dyDescent="0.2">
      <c r="B99" s="77" t="s">
        <v>92</v>
      </c>
      <c r="C99" s="44">
        <f>36182279342.66</f>
        <v>36182279342.660004</v>
      </c>
      <c r="D99" s="44">
        <f>1219755650.05</f>
        <v>1219755650.05</v>
      </c>
      <c r="E99" s="43" t="s">
        <v>45</v>
      </c>
      <c r="F99" s="43" t="s">
        <v>45</v>
      </c>
      <c r="G99" s="43" t="s">
        <v>45</v>
      </c>
      <c r="H99" s="43" t="s">
        <v>45</v>
      </c>
      <c r="I99" s="43" t="s">
        <v>45</v>
      </c>
      <c r="J99" s="48">
        <f t="shared" ref="J99:J108" si="12">IF($D$98=0,"",100*$D99/$D$98)</f>
        <v>2.5500270076096041</v>
      </c>
      <c r="K99" s="49">
        <f t="shared" si="11"/>
        <v>3.3711409900367197</v>
      </c>
    </row>
    <row r="100" spans="2:11" x14ac:dyDescent="0.2">
      <c r="B100" s="78" t="s">
        <v>73</v>
      </c>
      <c r="C100" s="66">
        <f>2185427803.03</f>
        <v>2185427803.0300002</v>
      </c>
      <c r="D100" s="66">
        <f>30000000</f>
        <v>30000000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67">
        <f t="shared" si="12"/>
        <v>6.2718143773428908E-2</v>
      </c>
      <c r="K100" s="65">
        <f t="shared" si="11"/>
        <v>1.3727289438894439</v>
      </c>
    </row>
    <row r="101" spans="2:11" x14ac:dyDescent="0.2">
      <c r="B101" s="32" t="s">
        <v>74</v>
      </c>
      <c r="C101" s="66">
        <f>422978065.49</f>
        <v>422978065.49000001</v>
      </c>
      <c r="D101" s="66">
        <f>16621637.19</f>
        <v>16621637.189999999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67">
        <f t="shared" si="12"/>
        <v>3.4749274367739759E-2</v>
      </c>
      <c r="K101" s="65">
        <f t="shared" si="11"/>
        <v>3.9296688282747292</v>
      </c>
    </row>
    <row r="102" spans="2:11" ht="33.75" x14ac:dyDescent="0.2">
      <c r="B102" s="32" t="s">
        <v>82</v>
      </c>
      <c r="C102" s="66">
        <f>6195130036.56</f>
        <v>6195130036.5600004</v>
      </c>
      <c r="D102" s="66">
        <f>15125709229.72</f>
        <v>15125709229.719999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7">
        <f t="shared" si="12"/>
        <v>31.621880204821984</v>
      </c>
      <c r="K102" s="65">
        <f t="shared" si="11"/>
        <v>244.15483033377819</v>
      </c>
    </row>
    <row r="103" spans="2:11" ht="22.5" x14ac:dyDescent="0.2">
      <c r="B103" s="32" t="s">
        <v>83</v>
      </c>
      <c r="C103" s="66">
        <f>3953854460.74</f>
        <v>3953854460.7399998</v>
      </c>
      <c r="D103" s="66">
        <f>5872601758.82</f>
        <v>5872601758.8199997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7">
        <f t="shared" si="12"/>
        <v>12.277289381125474</v>
      </c>
      <c r="K103" s="65">
        <f t="shared" si="11"/>
        <v>148.52852620480343</v>
      </c>
    </row>
    <row r="104" spans="2:11" x14ac:dyDescent="0.2">
      <c r="B104" s="32" t="s">
        <v>75</v>
      </c>
      <c r="C104" s="66">
        <f>0</f>
        <v>0</v>
      </c>
      <c r="D104" s="66">
        <f>0</f>
        <v>0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7">
        <f t="shared" si="12"/>
        <v>0</v>
      </c>
      <c r="K104" s="65" t="str">
        <f t="shared" si="11"/>
        <v/>
      </c>
    </row>
    <row r="105" spans="2:11" ht="22.5" x14ac:dyDescent="0.2">
      <c r="B105" s="32" t="s">
        <v>76</v>
      </c>
      <c r="C105" s="66">
        <f>11707716586.34</f>
        <v>11707716586.34</v>
      </c>
      <c r="D105" s="66">
        <f>23627134228.14</f>
        <v>23627134228.139999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7">
        <f t="shared" si="12"/>
        <v>49.39500004915292</v>
      </c>
      <c r="K105" s="65">
        <f t="shared" si="11"/>
        <v>201.80821814312623</v>
      </c>
    </row>
    <row r="106" spans="2:11" ht="33.75" x14ac:dyDescent="0.2">
      <c r="B106" s="32" t="s">
        <v>93</v>
      </c>
      <c r="C106" s="66">
        <f>0</f>
        <v>0</v>
      </c>
      <c r="D106" s="66">
        <f>120035039.11</f>
        <v>120035039.11</v>
      </c>
      <c r="E106" s="43"/>
      <c r="F106" s="43"/>
      <c r="G106" s="43"/>
      <c r="H106" s="43"/>
      <c r="I106" s="43"/>
      <c r="J106" s="67">
        <f>IF($D$98=0,"",100*$D106/$D$98)</f>
        <v>0.2509458280250047</v>
      </c>
      <c r="K106" s="65" t="str">
        <f>IF(C106=0,"",100*D106/C106)</f>
        <v/>
      </c>
    </row>
    <row r="107" spans="2:11" x14ac:dyDescent="0.2">
      <c r="B107" s="32" t="s">
        <v>94</v>
      </c>
      <c r="C107" s="66">
        <f>1751807375.37</f>
        <v>1751807375.3699999</v>
      </c>
      <c r="D107" s="66">
        <f>1851190750.58</f>
        <v>1851190750.5799999</v>
      </c>
      <c r="E107" s="43"/>
      <c r="F107" s="43"/>
      <c r="G107" s="43"/>
      <c r="H107" s="43"/>
      <c r="I107" s="43"/>
      <c r="J107" s="48">
        <f t="shared" si="12"/>
        <v>3.8701082548972732</v>
      </c>
      <c r="K107" s="49">
        <f>IF(C107=0,"",100*D107/C107)</f>
        <v>105.67319082036684</v>
      </c>
    </row>
    <row r="108" spans="2:11" x14ac:dyDescent="0.2">
      <c r="B108" s="78" t="s">
        <v>95</v>
      </c>
      <c r="C108" s="66">
        <f>1736419049.31</f>
        <v>1736419049.3099999</v>
      </c>
      <c r="D108" s="66">
        <f>1438741659.71</f>
        <v>1438741659.71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7">
        <f t="shared" si="12"/>
        <v>3.0078402088837835</v>
      </c>
      <c r="K108" s="65">
        <f>IF(C108=0,"",100*D108/C108)</f>
        <v>82.856823085516837</v>
      </c>
    </row>
    <row r="109" spans="2:11" ht="25.5" x14ac:dyDescent="0.2">
      <c r="B109" s="38" t="s">
        <v>51</v>
      </c>
      <c r="C109" s="26">
        <f>12824499302.19</f>
        <v>12824499302.190001</v>
      </c>
      <c r="D109" s="26">
        <f>6753457879.23</f>
        <v>6753457879.2299995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42">
        <f t="shared" ref="J109:J114" si="13">IF($D$109=0,"",100*$D109/$D$109)</f>
        <v>100</v>
      </c>
      <c r="K109" s="37">
        <f t="shared" si="11"/>
        <v>52.660596878637847</v>
      </c>
    </row>
    <row r="110" spans="2:11" ht="22.5" x14ac:dyDescent="0.2">
      <c r="B110" s="77" t="s">
        <v>77</v>
      </c>
      <c r="C110" s="66">
        <f>12111984662.63</f>
        <v>12111984662.629999</v>
      </c>
      <c r="D110" s="66">
        <f>3486762682.86</f>
        <v>3486762682.8600001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48">
        <f t="shared" si="13"/>
        <v>51.629294876975614</v>
      </c>
      <c r="K110" s="49">
        <f t="shared" si="11"/>
        <v>28.787707217116665</v>
      </c>
    </row>
    <row r="111" spans="2:11" x14ac:dyDescent="0.2">
      <c r="B111" s="78" t="s">
        <v>78</v>
      </c>
      <c r="C111" s="66">
        <f>491538192.72</f>
        <v>491538192.72000003</v>
      </c>
      <c r="D111" s="66">
        <f>46525000</f>
        <v>46525000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67">
        <f t="shared" si="13"/>
        <v>0.68890634741479395</v>
      </c>
      <c r="K111" s="65">
        <f t="shared" si="11"/>
        <v>9.4651851451353064</v>
      </c>
    </row>
    <row r="112" spans="2:11" x14ac:dyDescent="0.2">
      <c r="B112" s="32" t="s">
        <v>84</v>
      </c>
      <c r="C112" s="66">
        <f>449446280.54</f>
        <v>449446280.54000002</v>
      </c>
      <c r="D112" s="66">
        <f>210960594.09</f>
        <v>210960594.09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67">
        <f t="shared" si="13"/>
        <v>3.1237419091455534</v>
      </c>
      <c r="K112" s="65">
        <f t="shared" si="11"/>
        <v>46.93788851395886</v>
      </c>
    </row>
    <row r="113" spans="2:11" x14ac:dyDescent="0.2">
      <c r="B113" s="79" t="s">
        <v>96</v>
      </c>
      <c r="C113" s="66">
        <f>263068359.02</f>
        <v>263068359.02000001</v>
      </c>
      <c r="D113" s="66">
        <f>3055734602.28</f>
        <v>3055734602.2800002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48">
        <f t="shared" si="13"/>
        <v>45.246963213878843</v>
      </c>
      <c r="K113" s="49">
        <f t="shared" si="11"/>
        <v>1161.5743579590601</v>
      </c>
    </row>
    <row r="114" spans="2:11" x14ac:dyDescent="0.2">
      <c r="B114" s="92" t="s">
        <v>97</v>
      </c>
      <c r="C114" s="66">
        <f>147200126.6</f>
        <v>147200126.59999999</v>
      </c>
      <c r="D114" s="66">
        <f>66050000</f>
        <v>66050000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48">
        <f t="shared" si="13"/>
        <v>0.97801750127344744</v>
      </c>
      <c r="K114" s="49">
        <f>IF(C114=0,"",100*D114/C114)</f>
        <v>44.87088532164347</v>
      </c>
    </row>
    <row r="116" spans="2:11" x14ac:dyDescent="0.2">
      <c r="B116" s="41" t="s">
        <v>16</v>
      </c>
      <c r="C116" s="72" t="s">
        <v>17</v>
      </c>
      <c r="D116" s="19" t="s">
        <v>1</v>
      </c>
    </row>
    <row r="117" spans="2:11" x14ac:dyDescent="0.2">
      <c r="B117" s="41"/>
      <c r="C117" s="111" t="s">
        <v>64</v>
      </c>
      <c r="D117" s="112"/>
    </row>
    <row r="118" spans="2:11" x14ac:dyDescent="0.2">
      <c r="B118" s="39">
        <v>1</v>
      </c>
      <c r="C118" s="72">
        <v>2</v>
      </c>
      <c r="D118" s="19">
        <v>3</v>
      </c>
    </row>
    <row r="119" spans="2:11" ht="22.5" x14ac:dyDescent="0.2">
      <c r="B119" s="47" t="s">
        <v>98</v>
      </c>
      <c r="C119" s="45">
        <f>47660977597.43</f>
        <v>47660977597.43</v>
      </c>
      <c r="D119" s="28">
        <f>0</f>
        <v>0</v>
      </c>
    </row>
    <row r="120" spans="2:11" ht="22.5" x14ac:dyDescent="0.2">
      <c r="B120" s="85" t="s">
        <v>66</v>
      </c>
      <c r="C120" s="46">
        <f>1714947825.11</f>
        <v>1714947825.1099999</v>
      </c>
      <c r="D120" s="74">
        <f>0</f>
        <v>0</v>
      </c>
    </row>
    <row r="121" spans="2:11" x14ac:dyDescent="0.2">
      <c r="B121" s="85" t="s">
        <v>67</v>
      </c>
      <c r="C121" s="46">
        <f>25898427329.95</f>
        <v>25898427329.950001</v>
      </c>
      <c r="D121" s="74">
        <f>0</f>
        <v>0</v>
      </c>
    </row>
    <row r="122" spans="2:11" x14ac:dyDescent="0.2">
      <c r="B122" s="85" t="s">
        <v>68</v>
      </c>
      <c r="C122" s="46">
        <f>0</f>
        <v>0</v>
      </c>
      <c r="D122" s="74">
        <f>0</f>
        <v>0</v>
      </c>
    </row>
    <row r="123" spans="2:11" ht="33.75" x14ac:dyDescent="0.2">
      <c r="B123" s="85" t="s">
        <v>85</v>
      </c>
      <c r="C123" s="46">
        <f>5537188200.8</f>
        <v>5537188200.8000002</v>
      </c>
      <c r="D123" s="74">
        <f>0</f>
        <v>0</v>
      </c>
    </row>
    <row r="124" spans="2:11" ht="56.25" x14ac:dyDescent="0.2">
      <c r="B124" s="85" t="s">
        <v>69</v>
      </c>
      <c r="C124" s="46">
        <f>9045627720.81</f>
        <v>9045627720.8099995</v>
      </c>
      <c r="D124" s="74">
        <f>0</f>
        <v>0</v>
      </c>
    </row>
    <row r="125" spans="2:11" ht="90" x14ac:dyDescent="0.2">
      <c r="B125" s="85" t="s">
        <v>87</v>
      </c>
      <c r="C125" s="46">
        <f>3724926933.19</f>
        <v>3724926933.1900001</v>
      </c>
      <c r="D125" s="74">
        <f>0</f>
        <v>0</v>
      </c>
    </row>
    <row r="126" spans="2:11" x14ac:dyDescent="0.2">
      <c r="B126" s="85" t="s">
        <v>80</v>
      </c>
      <c r="C126" s="46">
        <f>132662420.22</f>
        <v>132662420.22</v>
      </c>
      <c r="D126" s="74">
        <f>0</f>
        <v>0</v>
      </c>
    </row>
    <row r="127" spans="2:11" x14ac:dyDescent="0.2">
      <c r="B127" s="85" t="s">
        <v>95</v>
      </c>
      <c r="C127" s="46">
        <f>1607197167.35</f>
        <v>1607197167.3499999</v>
      </c>
      <c r="D127" s="74">
        <f>0</f>
        <v>0</v>
      </c>
    </row>
    <row r="129" spans="2:4" x14ac:dyDescent="0.2">
      <c r="B129" s="33" t="s">
        <v>52</v>
      </c>
      <c r="C129" s="97">
        <f>1</f>
        <v>1</v>
      </c>
      <c r="D129" s="33" t="str">
        <f>IF(C129=1,"I Kwartał",IF(C129=2,"II Kwartały",IF(C129=3,"III Kwartały",IF(C129=4,"IV Kwartały",IF(C129="M1","Styczeń",IF(C129="M11","Listopad",IF(C129="M12","Grudzień","-")))))))</f>
        <v>I Kwartał</v>
      </c>
    </row>
    <row r="130" spans="2:4" x14ac:dyDescent="0.2">
      <c r="B130" s="33" t="s">
        <v>53</v>
      </c>
      <c r="C130" s="88">
        <f>2026</f>
        <v>2026</v>
      </c>
    </row>
    <row r="131" spans="2:4" x14ac:dyDescent="0.2">
      <c r="B131" s="33" t="s">
        <v>54</v>
      </c>
      <c r="C131" s="114" t="str">
        <f>"May 18 2026 12:00AM"</f>
        <v>May 18 2026 12:00AM</v>
      </c>
      <c r="D131" s="115"/>
    </row>
  </sheetData>
  <mergeCells count="26">
    <mergeCell ref="C96:D96"/>
    <mergeCell ref="F62:F63"/>
    <mergeCell ref="C131:D131"/>
    <mergeCell ref="C117:D117"/>
    <mergeCell ref="J96:K96"/>
    <mergeCell ref="J64:K64"/>
    <mergeCell ref="K61:K63"/>
    <mergeCell ref="I61:I63"/>
    <mergeCell ref="J61:J63"/>
    <mergeCell ref="F61:H61"/>
    <mergeCell ref="C61:C63"/>
    <mergeCell ref="G62:H62"/>
    <mergeCell ref="E95:I97"/>
    <mergeCell ref="B3:B4"/>
    <mergeCell ref="J4:L4"/>
    <mergeCell ref="B61:B64"/>
    <mergeCell ref="C4:I4"/>
    <mergeCell ref="D61:D63"/>
    <mergeCell ref="E61:E63"/>
    <mergeCell ref="C64:H64"/>
    <mergeCell ref="B80:B81"/>
    <mergeCell ref="C80:D80"/>
    <mergeCell ref="E80:F80"/>
    <mergeCell ref="B85:B86"/>
    <mergeCell ref="C85:D85"/>
    <mergeCell ref="E85:F85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75" orientation="landscape" useFirstPageNumber="1" r:id="rId1"/>
  <headerFooter alignWithMargins="0">
    <oddFooter>&amp;RStrona &amp;P z &amp;N</oddFooter>
  </headerFooter>
  <rowBreaks count="2" manualBreakCount="2">
    <brk id="45" max="12" man="1"/>
    <brk id="9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2025-02-06T15:04:44Z</cp:lastPrinted>
  <dcterms:created xsi:type="dcterms:W3CDTF">2001-05-17T08:58:03Z</dcterms:created>
  <dcterms:modified xsi:type="dcterms:W3CDTF">2026-05-29T11:55:55Z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2025-01-31T14:00:36.4926801+01:00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GRN-4a6a8bce-14a0-44be-8a2d-20d4f4ebfc44</vt:lpwstr>
  </property>
  <property fmtid="{D5CDD505-2E9C-101B-9397-08002B2CF9AE}" pid="7" name="MFHash">
    <vt:lpwstr>hJ+ngg+9s+tGkx/Vu3SXQN++GIMm8CSpPy5/CP61cQE=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