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1109C553-3926-4D57-A066-1F050D80D293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definedNames>
    <definedName name="_xlnm.Print_Area" localSheetId="0">doch_wyd!$A$1:$M$141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4" l="1"/>
  <c r="C140" i="4"/>
  <c r="C139" i="4"/>
  <c r="C138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3" i="4"/>
  <c r="C123" i="4"/>
  <c r="D122" i="4"/>
  <c r="C122" i="4"/>
  <c r="D121" i="4"/>
  <c r="C121" i="4"/>
  <c r="D120" i="4"/>
  <c r="C120" i="4"/>
  <c r="D119" i="4"/>
  <c r="C119" i="4"/>
  <c r="F119" i="4"/>
  <c r="D118" i="4"/>
  <c r="C118" i="4"/>
  <c r="D117" i="4"/>
  <c r="E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E110" i="4"/>
  <c r="C110" i="4"/>
  <c r="D109" i="4"/>
  <c r="C109" i="4"/>
  <c r="D108" i="4"/>
  <c r="C108" i="4"/>
  <c r="D107" i="4"/>
  <c r="E113" i="4"/>
  <c r="C107" i="4"/>
  <c r="I99" i="4"/>
  <c r="H99" i="4"/>
  <c r="G99" i="4"/>
  <c r="F99" i="4"/>
  <c r="E99" i="4"/>
  <c r="D99" i="4"/>
  <c r="C99" i="4"/>
  <c r="I98" i="4"/>
  <c r="H98" i="4"/>
  <c r="G98" i="4"/>
  <c r="F98" i="4"/>
  <c r="E98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K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6" i="4"/>
  <c r="H86" i="4"/>
  <c r="G86" i="4"/>
  <c r="F86" i="4"/>
  <c r="E86" i="4"/>
  <c r="D86" i="4"/>
  <c r="K86" i="4"/>
  <c r="C86" i="4"/>
  <c r="I85" i="4"/>
  <c r="I87" i="4"/>
  <c r="I93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73" i="4"/>
  <c r="H73" i="4"/>
  <c r="G73" i="4"/>
  <c r="F73" i="4"/>
  <c r="E73" i="4"/>
  <c r="D73" i="4"/>
  <c r="C73" i="4"/>
  <c r="D70" i="4"/>
  <c r="C70" i="4"/>
  <c r="C68" i="4"/>
  <c r="D69" i="4"/>
  <c r="C69" i="4"/>
  <c r="D67" i="4"/>
  <c r="C67" i="4"/>
  <c r="D66" i="4"/>
  <c r="C66" i="4"/>
  <c r="D65" i="4"/>
  <c r="C65" i="4"/>
  <c r="D63" i="4"/>
  <c r="C63" i="4"/>
  <c r="D62" i="4"/>
  <c r="C62" i="4"/>
  <c r="D61" i="4"/>
  <c r="C61" i="4"/>
  <c r="D59" i="4"/>
  <c r="C59" i="4"/>
  <c r="D58" i="4"/>
  <c r="C58" i="4"/>
  <c r="D57" i="4"/>
  <c r="C57" i="4"/>
  <c r="K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J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C39" i="4"/>
  <c r="D41" i="4"/>
  <c r="C41" i="4"/>
  <c r="K41" i="4"/>
  <c r="D40" i="4"/>
  <c r="C40" i="4"/>
  <c r="D38" i="4"/>
  <c r="J38" i="4"/>
  <c r="C38" i="4"/>
  <c r="D37" i="4"/>
  <c r="C37" i="4"/>
  <c r="D36" i="4"/>
  <c r="C36" i="4"/>
  <c r="D35" i="4"/>
  <c r="D32" i="4"/>
  <c r="J32" i="4"/>
  <c r="C35" i="4"/>
  <c r="D34" i="4"/>
  <c r="J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K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K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J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J7" i="4"/>
  <c r="C7" i="4"/>
  <c r="I5" i="4"/>
  <c r="H5" i="4"/>
  <c r="G5" i="4"/>
  <c r="F5" i="4"/>
  <c r="F6" i="4"/>
  <c r="E5" i="4"/>
  <c r="D5" i="4"/>
  <c r="C5" i="4"/>
  <c r="C94" i="4"/>
  <c r="D68" i="4"/>
  <c r="D64" i="4"/>
  <c r="C64" i="4"/>
  <c r="J62" i="4"/>
  <c r="J63" i="4"/>
  <c r="K62" i="4"/>
  <c r="K63" i="4"/>
  <c r="E72" i="4"/>
  <c r="E74" i="4"/>
  <c r="E6" i="4"/>
  <c r="E22" i="4"/>
  <c r="K48" i="4"/>
  <c r="F72" i="4"/>
  <c r="F74" i="4"/>
  <c r="G72" i="4"/>
  <c r="G74" i="4"/>
  <c r="G6" i="4"/>
  <c r="G22" i="4"/>
  <c r="K28" i="4"/>
  <c r="K12" i="4"/>
  <c r="K73" i="4"/>
  <c r="F110" i="4"/>
  <c r="K30" i="4"/>
  <c r="E122" i="4"/>
  <c r="E118" i="4"/>
  <c r="E121" i="4"/>
  <c r="E119" i="4"/>
  <c r="E123" i="4"/>
  <c r="E120" i="4"/>
  <c r="K40" i="4"/>
  <c r="K17" i="4"/>
  <c r="K59" i="4"/>
  <c r="K61" i="4"/>
  <c r="D39" i="4"/>
  <c r="J39" i="4"/>
  <c r="F121" i="4"/>
  <c r="H6" i="4"/>
  <c r="H72" i="4"/>
  <c r="H74" i="4"/>
  <c r="K15" i="4"/>
  <c r="I72" i="4"/>
  <c r="I74" i="4"/>
  <c r="I6" i="4"/>
  <c r="K31" i="4"/>
  <c r="K65" i="4"/>
  <c r="K90" i="4"/>
  <c r="K7" i="4"/>
  <c r="F112" i="4"/>
  <c r="K13" i="4"/>
  <c r="C32" i="4"/>
  <c r="K33" i="4"/>
  <c r="K45" i="4"/>
  <c r="K66" i="4"/>
  <c r="F87" i="4"/>
  <c r="F93" i="4"/>
  <c r="K99" i="4"/>
  <c r="K8" i="4"/>
  <c r="K35" i="4"/>
  <c r="K54" i="4"/>
  <c r="K67" i="4"/>
  <c r="G87" i="4"/>
  <c r="G93" i="4"/>
  <c r="K88" i="4"/>
  <c r="K52" i="4"/>
  <c r="J98" i="4"/>
  <c r="F123" i="4"/>
  <c r="D138" i="4"/>
  <c r="B1" i="4"/>
  <c r="K10" i="4"/>
  <c r="K44" i="4"/>
  <c r="F100" i="4"/>
  <c r="K53" i="4"/>
  <c r="E87" i="4"/>
  <c r="E93" i="4"/>
  <c r="I100" i="4"/>
  <c r="K46" i="4"/>
  <c r="H87" i="4"/>
  <c r="H93" i="4"/>
  <c r="K11" i="4"/>
  <c r="K37" i="4"/>
  <c r="K56" i="4"/>
  <c r="K69" i="4"/>
  <c r="C72" i="4"/>
  <c r="K14" i="4"/>
  <c r="K27" i="4"/>
  <c r="K47" i="4"/>
  <c r="K58" i="4"/>
  <c r="K85" i="4"/>
  <c r="J31" i="4"/>
  <c r="J44" i="4"/>
  <c r="D94" i="4"/>
  <c r="J30" i="4"/>
  <c r="J59" i="4"/>
  <c r="J54" i="4"/>
  <c r="J9" i="4"/>
  <c r="J28" i="4"/>
  <c r="J27" i="4"/>
  <c r="D72" i="4"/>
  <c r="D74" i="4"/>
  <c r="J19" i="4"/>
  <c r="J35" i="4"/>
  <c r="J49" i="4"/>
  <c r="J12" i="4"/>
  <c r="J10" i="4"/>
  <c r="J11" i="4"/>
  <c r="J29" i="4"/>
  <c r="J67" i="4"/>
  <c r="J52" i="4"/>
  <c r="J45" i="4"/>
  <c r="J37" i="4"/>
  <c r="J43" i="4"/>
  <c r="J5" i="4"/>
  <c r="J36" i="4"/>
  <c r="J56" i="4"/>
  <c r="J33" i="4"/>
  <c r="J26" i="4"/>
  <c r="J40" i="4"/>
  <c r="J51" i="4"/>
  <c r="J21" i="4"/>
  <c r="J61" i="4"/>
  <c r="J17" i="4"/>
  <c r="J70" i="4"/>
  <c r="J18" i="4"/>
  <c r="J16" i="4"/>
  <c r="J14" i="4"/>
  <c r="J53" i="4"/>
  <c r="J73" i="4"/>
  <c r="J69" i="4"/>
  <c r="J46" i="4"/>
  <c r="J57" i="4"/>
  <c r="J50" i="4"/>
  <c r="J8" i="4"/>
  <c r="J66" i="4"/>
  <c r="J15" i="4"/>
  <c r="J58" i="4"/>
  <c r="J65" i="4"/>
  <c r="J47" i="4"/>
  <c r="J41" i="4"/>
  <c r="J55" i="4"/>
  <c r="J20" i="4"/>
  <c r="K38" i="4"/>
  <c r="K70" i="4"/>
  <c r="E109" i="4"/>
  <c r="E114" i="4"/>
  <c r="E111" i="4"/>
  <c r="E112" i="4"/>
  <c r="E107" i="4"/>
  <c r="E115" i="4"/>
  <c r="E116" i="4"/>
  <c r="F118" i="4"/>
  <c r="F113" i="4"/>
  <c r="K20" i="4"/>
  <c r="C25" i="4"/>
  <c r="K34" i="4"/>
  <c r="K42" i="4"/>
  <c r="K50" i="4"/>
  <c r="F122" i="4"/>
  <c r="D25" i="4"/>
  <c r="C100" i="4"/>
  <c r="K98" i="4"/>
  <c r="F107" i="4"/>
  <c r="F115" i="4"/>
  <c r="E100" i="4"/>
  <c r="F109" i="4"/>
  <c r="F116" i="4"/>
  <c r="K9" i="4"/>
  <c r="K21" i="4"/>
  <c r="K84" i="4"/>
  <c r="C87" i="4"/>
  <c r="G100" i="4"/>
  <c r="F108" i="4"/>
  <c r="F114" i="4"/>
  <c r="F120" i="4"/>
  <c r="K16" i="4"/>
  <c r="K29" i="4"/>
  <c r="K36" i="4"/>
  <c r="K43" i="4"/>
  <c r="K49" i="4"/>
  <c r="K55" i="4"/>
  <c r="D87" i="4"/>
  <c r="J87" i="4"/>
  <c r="J84" i="4"/>
  <c r="J90" i="4"/>
  <c r="J86" i="4"/>
  <c r="J85" i="4"/>
  <c r="J89" i="4"/>
  <c r="J92" i="4"/>
  <c r="J88" i="4"/>
  <c r="K92" i="4"/>
  <c r="H100" i="4"/>
  <c r="J72" i="4"/>
  <c r="C74" i="4"/>
  <c r="K72" i="4"/>
  <c r="B77" i="4"/>
  <c r="B102" i="4"/>
  <c r="F117" i="4"/>
  <c r="F111" i="4"/>
  <c r="E108" i="4"/>
  <c r="J99" i="4"/>
  <c r="D100" i="4"/>
  <c r="J91" i="4"/>
  <c r="K89" i="4"/>
  <c r="D93" i="4"/>
  <c r="J93" i="4"/>
  <c r="K87" i="4"/>
  <c r="C95" i="4"/>
  <c r="C93" i="4"/>
  <c r="J68" i="4"/>
  <c r="K68" i="4"/>
  <c r="C60" i="4"/>
  <c r="D60" i="4"/>
  <c r="J60" i="4"/>
  <c r="J64" i="4"/>
  <c r="K60" i="4"/>
  <c r="K64" i="4"/>
  <c r="K51" i="4"/>
  <c r="K39" i="4"/>
  <c r="D24" i="4"/>
  <c r="J24" i="4"/>
  <c r="K32" i="4"/>
  <c r="C24" i="4"/>
  <c r="C23" i="4"/>
  <c r="D23" i="4"/>
  <c r="K25" i="4"/>
  <c r="J25" i="4"/>
  <c r="K19" i="4"/>
  <c r="I22" i="4"/>
  <c r="H22" i="4"/>
  <c r="F22" i="4"/>
  <c r="D95" i="4"/>
  <c r="J74" i="4"/>
  <c r="J42" i="4"/>
  <c r="K5" i="4"/>
  <c r="K74" i="4"/>
  <c r="K100" i="4"/>
  <c r="J100" i="4"/>
  <c r="K93" i="4"/>
  <c r="K24" i="4"/>
  <c r="J23" i="4"/>
  <c r="D6" i="4"/>
  <c r="C6" i="4"/>
  <c r="K23" i="4"/>
  <c r="J6" i="4"/>
  <c r="L6" i="4"/>
  <c r="L12" i="4"/>
  <c r="L21" i="4"/>
  <c r="L15" i="4"/>
  <c r="L8" i="4"/>
  <c r="L11" i="4"/>
  <c r="L18" i="4"/>
  <c r="L7" i="4"/>
  <c r="L10" i="4"/>
  <c r="D22" i="4"/>
  <c r="L19" i="4"/>
  <c r="L14" i="4"/>
  <c r="L20" i="4"/>
  <c r="L9" i="4"/>
  <c r="L16" i="4"/>
  <c r="L13" i="4"/>
  <c r="L17" i="4"/>
  <c r="C22" i="4"/>
  <c r="K6" i="4"/>
  <c r="J22" i="4"/>
  <c r="L22" i="4"/>
  <c r="K22" i="4"/>
</calcChain>
</file>

<file path=xl/sharedStrings.xml><?xml version="1.0" encoding="utf-8"?>
<sst xmlns="http://schemas.openxmlformats.org/spreadsheetml/2006/main" count="395" uniqueCount="126">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</sst>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70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6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6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6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 vertical="center"/>
    </xf>
    <xf numFmtId="166" fontId="33" fillId="0" borderId="0" xfId="0" applyNumberFormat="1" applyFont="1" applyAlignment="1">
      <alignment horizontal="center" vertical="center"/>
    </xf>
    <xf numFmtId="166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6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6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6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6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6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6" fontId="34" fillId="0" borderId="10" xfId="0" applyNumberFormat="1" applyFont="1" applyFill="1" applyBorder="1" applyAlignment="1">
      <alignment horizontal="center" vertical="center"/>
    </xf>
    <xf numFmtId="166" fontId="34" fillId="20" borderId="10" xfId="28" applyNumberFormat="1" applyFont="1" applyFill="1" applyBorder="1" applyAlignment="1">
      <alignment horizontal="center" vertical="center"/>
    </xf>
    <xf numFmtId="166" fontId="34" fillId="22" borderId="10" xfId="28" applyNumberFormat="1" applyFont="1" applyFill="1" applyBorder="1" applyAlignment="1">
      <alignment horizontal="center" vertical="center"/>
    </xf>
    <xf numFmtId="166" fontId="34" fillId="22" borderId="10" xfId="0" applyNumberFormat="1" applyFont="1" applyFill="1" applyBorder="1" applyAlignment="1">
      <alignment horizontal="center" vertical="center"/>
    </xf>
    <xf numFmtId="166" fontId="34" fillId="0" borderId="10" xfId="28" applyNumberFormat="1" applyFont="1" applyFill="1" applyBorder="1" applyAlignment="1">
      <alignment horizontal="center" vertical="center"/>
    </xf>
    <xf numFmtId="166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6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6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70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70" fontId="6" fillId="0" borderId="13" xfId="0" applyNumberFormat="1" applyFont="1" applyBorder="1" applyAlignment="1">
      <alignment horizontal="center"/>
    </xf>
    <xf numFmtId="170" fontId="6" fillId="0" borderId="16" xfId="0" applyNumberFormat="1" applyFont="1" applyBorder="1" applyAlignment="1">
      <alignment horizontal="center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2 2" xfId="29"/>
    <cellStyle name="Dziesiętny 3" xfId="30"/>
    <cellStyle name="Dziesiętny 3 2" xfId="31"/>
    <cellStyle name="Dziesiętny 3 3" xfId="32"/>
    <cellStyle name="Dziesiętny 3 4" xfId="33"/>
    <cellStyle name="Dziesiętny 4" xfId="34"/>
    <cellStyle name="Dziesiętny 5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ny" xfId="0" builtinId="0"/>
    <cellStyle name="Normalny 2" xfId="45"/>
    <cellStyle name="Normalny 2 2" xfId="46"/>
    <cellStyle name="Note" xfId="47"/>
    <cellStyle name="Note 2" xfId="48"/>
    <cellStyle name="Output" xfId="49"/>
    <cellStyle name="Title" xfId="50"/>
    <cellStyle name="Total" xfId="51"/>
    <cellStyle name="Warning Text" xfId="5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41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",$D$138," ",$C$139," rok    ",$C$141,"")</f>
        <v xml:space="preserve">Informacja z wykonania budżetów miast na prawach powiatu za II Kwartały 2024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26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26"/>
      <c r="C3" s="119" t="s">
        <v>78</v>
      </c>
      <c r="D3" s="120"/>
      <c r="E3" s="120"/>
      <c r="F3" s="120"/>
      <c r="G3" s="120"/>
      <c r="H3" s="120"/>
      <c r="I3" s="121"/>
      <c r="J3" s="116" t="s">
        <v>4</v>
      </c>
      <c r="K3" s="116"/>
      <c r="L3" s="116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131766027615.34</f>
        <v>131766027615.34</v>
      </c>
      <c r="D5" s="67">
        <f>71738978915.84</f>
        <v>71738978915.839996</v>
      </c>
      <c r="E5" s="67">
        <f>501287200.96</f>
        <v>501287200.95999998</v>
      </c>
      <c r="F5" s="67">
        <f>157600506.67</f>
        <v>157600506.66999999</v>
      </c>
      <c r="G5" s="67">
        <f>11620193.73</f>
        <v>11620193.73</v>
      </c>
      <c r="H5" s="67">
        <f>63200806</f>
        <v>63200806</v>
      </c>
      <c r="I5" s="67">
        <f>2972402.27</f>
        <v>2972402.27</v>
      </c>
      <c r="J5" s="16">
        <f t="shared" ref="J5:J74" si="0">IF($D$5=0,"",100*$D5/$D$5)</f>
        <v>100</v>
      </c>
      <c r="K5" s="16">
        <f t="shared" ref="K5:K49" si="1">IF(C5=0,"",100*D5/C5)</f>
        <v>54.444214653920596</v>
      </c>
      <c r="L5" s="16"/>
    </row>
    <row r="6" spans="2:13" ht="25.5" customHeight="1" x14ac:dyDescent="0.2">
      <c r="B6" s="88" t="s">
        <v>57</v>
      </c>
      <c r="C6" s="67">
        <f>C5-C23-C60</f>
        <v>79769926019.659988</v>
      </c>
      <c r="D6" s="67">
        <f>D5-D23-D60</f>
        <v>41647118468.149994</v>
      </c>
      <c r="E6" s="67">
        <f>E5</f>
        <v>501287200.95999998</v>
      </c>
      <c r="F6" s="67">
        <f>F5</f>
        <v>157600506.66999999</v>
      </c>
      <c r="G6" s="67">
        <f>G5</f>
        <v>11620193.73</v>
      </c>
      <c r="H6" s="67">
        <f>H5</f>
        <v>63200806</v>
      </c>
      <c r="I6" s="67">
        <f>I5</f>
        <v>2972402.27</v>
      </c>
      <c r="J6" s="16">
        <f t="shared" si="0"/>
        <v>58.053681690964652</v>
      </c>
      <c r="K6" s="16">
        <f t="shared" si="1"/>
        <v>52.209047376934642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5294432179</f>
        <v>5294432179</v>
      </c>
      <c r="D7" s="68">
        <f>2647215912</f>
        <v>2647215912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3.6900663377235405</v>
      </c>
      <c r="K7" s="18">
        <f t="shared" si="1"/>
        <v>49.999996647421405</v>
      </c>
      <c r="L7" s="18">
        <f t="shared" si="2"/>
        <v>6.3563002900776482</v>
      </c>
    </row>
    <row r="8" spans="2:13" ht="33.75" outlineLevel="1" x14ac:dyDescent="0.2">
      <c r="B8" s="10" t="s">
        <v>59</v>
      </c>
      <c r="C8" s="69">
        <f>1105433584</f>
        <v>1105433584</v>
      </c>
      <c r="D8" s="69">
        <f>552716598</f>
        <v>552716598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0.77045506690081977</v>
      </c>
      <c r="K8" s="18">
        <f t="shared" si="1"/>
        <v>49.99998245032512</v>
      </c>
      <c r="L8" s="18">
        <f t="shared" si="2"/>
        <v>1.3271424730685628</v>
      </c>
    </row>
    <row r="9" spans="2:13" ht="33.75" outlineLevel="1" x14ac:dyDescent="0.2">
      <c r="B9" s="10" t="s">
        <v>60</v>
      </c>
      <c r="C9" s="69">
        <f>25282663771</f>
        <v>25282663771</v>
      </c>
      <c r="D9" s="69">
        <f>12641331714</f>
        <v>12641331714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17.621287485608175</v>
      </c>
      <c r="K9" s="18">
        <f t="shared" si="1"/>
        <v>49.999999321669577</v>
      </c>
      <c r="L9" s="18">
        <f t="shared" si="2"/>
        <v>30.3534366337195</v>
      </c>
    </row>
    <row r="10" spans="2:13" ht="33.75" outlineLevel="1" x14ac:dyDescent="0.2">
      <c r="B10" s="10" t="s">
        <v>61</v>
      </c>
      <c r="C10" s="69">
        <f>6738549300</f>
        <v>6738549300</v>
      </c>
      <c r="D10" s="69">
        <f>3369274464</f>
        <v>3369274464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4.6965743239148097</v>
      </c>
      <c r="K10" s="18">
        <f t="shared" si="1"/>
        <v>49.999997239761974</v>
      </c>
      <c r="L10" s="18">
        <f t="shared" si="2"/>
        <v>8.0900542172603913</v>
      </c>
    </row>
    <row r="11" spans="2:13" ht="12.95" customHeight="1" outlineLevel="1" x14ac:dyDescent="0.2">
      <c r="B11" s="10" t="s">
        <v>17</v>
      </c>
      <c r="C11" s="69">
        <f>30144827</f>
        <v>30144827</v>
      </c>
      <c r="D11" s="69">
        <f>23672920.86</f>
        <v>23672920.859999999</v>
      </c>
      <c r="E11" s="69">
        <f>749357.75</f>
        <v>749357.75</v>
      </c>
      <c r="F11" s="69">
        <f>5982.65</f>
        <v>5982.65</v>
      </c>
      <c r="G11" s="69">
        <f>6949.27</f>
        <v>6949.27</v>
      </c>
      <c r="H11" s="69">
        <f>27307.03</f>
        <v>27307.03</v>
      </c>
      <c r="I11" s="69">
        <f>0</f>
        <v>0</v>
      </c>
      <c r="J11" s="18">
        <f t="shared" si="0"/>
        <v>3.2998686652303343E-2</v>
      </c>
      <c r="K11" s="18">
        <f t="shared" si="1"/>
        <v>78.530624375452547</v>
      </c>
      <c r="L11" s="18">
        <f t="shared" si="2"/>
        <v>5.6841677721602944E-2</v>
      </c>
    </row>
    <row r="12" spans="2:13" ht="12.95" customHeight="1" outlineLevel="1" x14ac:dyDescent="0.2">
      <c r="B12" s="10" t="s">
        <v>18</v>
      </c>
      <c r="C12" s="69">
        <f>12873147940.43</f>
        <v>12873147940.43</v>
      </c>
      <c r="D12" s="70">
        <f>6952032812.06</f>
        <v>6952032812.0600004</v>
      </c>
      <c r="E12" s="69">
        <f>223700319.16</f>
        <v>223700319.16</v>
      </c>
      <c r="F12" s="69">
        <f>157110589.53</f>
        <v>157110589.53</v>
      </c>
      <c r="G12" s="69">
        <f>8638659.29</f>
        <v>8638659.2899999991</v>
      </c>
      <c r="H12" s="69">
        <f>51144099.89</f>
        <v>51144099.890000001</v>
      </c>
      <c r="I12" s="69">
        <f>2934700.34</f>
        <v>2934700.34</v>
      </c>
      <c r="J12" s="18">
        <f t="shared" si="0"/>
        <v>9.6907328723143955</v>
      </c>
      <c r="K12" s="18">
        <f t="shared" si="1"/>
        <v>54.004139812812419</v>
      </c>
      <c r="L12" s="18">
        <f t="shared" si="2"/>
        <v>16.69271024687249</v>
      </c>
    </row>
    <row r="13" spans="2:13" ht="12.95" customHeight="1" outlineLevel="1" x14ac:dyDescent="0.2">
      <c r="B13" s="10" t="s">
        <v>19</v>
      </c>
      <c r="C13" s="69">
        <f>7562082</f>
        <v>7562082</v>
      </c>
      <c r="D13" s="70">
        <f>4318826.28</f>
        <v>4318826.28</v>
      </c>
      <c r="E13" s="69">
        <f>0</f>
        <v>0</v>
      </c>
      <c r="F13" s="69">
        <f>22247.82</f>
        <v>22247.82</v>
      </c>
      <c r="G13" s="69">
        <f>149.59</f>
        <v>149.59</v>
      </c>
      <c r="H13" s="69">
        <f>1335.89</f>
        <v>1335.89</v>
      </c>
      <c r="I13" s="69">
        <f>0</f>
        <v>0</v>
      </c>
      <c r="J13" s="18">
        <f t="shared" si="0"/>
        <v>6.0201948024191931E-3</v>
      </c>
      <c r="K13" s="18">
        <f t="shared" si="1"/>
        <v>57.111603391764334</v>
      </c>
      <c r="L13" s="18">
        <f t="shared" si="2"/>
        <v>1.0370048250283776E-2</v>
      </c>
    </row>
    <row r="14" spans="2:13" ht="12.95" customHeight="1" outlineLevel="1" x14ac:dyDescent="0.2">
      <c r="B14" s="10" t="s">
        <v>20</v>
      </c>
      <c r="C14" s="69">
        <f>418726339</f>
        <v>418726339</v>
      </c>
      <c r="D14" s="70">
        <f>217046254.05</f>
        <v>217046254.05000001</v>
      </c>
      <c r="E14" s="69">
        <f>276702560.59</f>
        <v>276702560.58999997</v>
      </c>
      <c r="F14" s="69">
        <f>461610.67</f>
        <v>461610.67</v>
      </c>
      <c r="G14" s="69">
        <f>69785.68</f>
        <v>69785.679999999993</v>
      </c>
      <c r="H14" s="69">
        <f>927932.09</f>
        <v>927932.09</v>
      </c>
      <c r="I14" s="69">
        <f>0</f>
        <v>0</v>
      </c>
      <c r="J14" s="18">
        <f t="shared" si="0"/>
        <v>0.30254996283767305</v>
      </c>
      <c r="K14" s="18">
        <f t="shared" si="1"/>
        <v>51.834870136984627</v>
      </c>
      <c r="L14" s="18">
        <f t="shared" si="2"/>
        <v>0.52115551335439469</v>
      </c>
    </row>
    <row r="15" spans="2:13" ht="33.75" outlineLevel="1" x14ac:dyDescent="0.2">
      <c r="B15" s="10" t="s">
        <v>36</v>
      </c>
      <c r="C15" s="69">
        <f>91678710</f>
        <v>91678710</v>
      </c>
      <c r="D15" s="70">
        <f>42526139.42</f>
        <v>42526139.420000002</v>
      </c>
      <c r="E15" s="69">
        <f>0</f>
        <v>0</v>
      </c>
      <c r="F15" s="69">
        <f>0</f>
        <v>0</v>
      </c>
      <c r="G15" s="69">
        <f>30875.31</f>
        <v>30875.31</v>
      </c>
      <c r="H15" s="69">
        <f>115810.74</f>
        <v>115810.74</v>
      </c>
      <c r="I15" s="69">
        <f>0</f>
        <v>0</v>
      </c>
      <c r="J15" s="18">
        <f t="shared" si="0"/>
        <v>5.9278986211790383E-2</v>
      </c>
      <c r="K15" s="18">
        <f t="shared" si="1"/>
        <v>46.386057809932097</v>
      </c>
      <c r="L15" s="18">
        <f t="shared" si="2"/>
        <v>0.10211064050571049</v>
      </c>
    </row>
    <row r="16" spans="2:13" ht="12.95" customHeight="1" outlineLevel="1" x14ac:dyDescent="0.2">
      <c r="B16" s="10" t="s">
        <v>25</v>
      </c>
      <c r="C16" s="69">
        <f>277256564</f>
        <v>277256564</v>
      </c>
      <c r="D16" s="70">
        <f>160797526.83</f>
        <v>160797526.83000001</v>
      </c>
      <c r="E16" s="69">
        <f>0</f>
        <v>0</v>
      </c>
      <c r="F16" s="69">
        <f>0</f>
        <v>0</v>
      </c>
      <c r="G16" s="69">
        <f>777286.68</f>
        <v>777286.68</v>
      </c>
      <c r="H16" s="69">
        <f>4986216.58</f>
        <v>4986216.58</v>
      </c>
      <c r="I16" s="69">
        <f>0</f>
        <v>0</v>
      </c>
      <c r="J16" s="18">
        <f t="shared" si="0"/>
        <v>0.2241424805037138</v>
      </c>
      <c r="K16" s="18">
        <f t="shared" si="1"/>
        <v>57.995931461518083</v>
      </c>
      <c r="L16" s="18">
        <f t="shared" si="2"/>
        <v>0.38609520356845661</v>
      </c>
    </row>
    <row r="17" spans="2:12" ht="22.5" customHeight="1" outlineLevel="1" x14ac:dyDescent="0.2">
      <c r="B17" s="10" t="s">
        <v>26</v>
      </c>
      <c r="C17" s="69">
        <f>1834974305.35</f>
        <v>1834974305.3499999</v>
      </c>
      <c r="D17" s="70">
        <f>996540682.58</f>
        <v>996540682.58000004</v>
      </c>
      <c r="E17" s="69">
        <f>0</f>
        <v>0</v>
      </c>
      <c r="F17" s="69">
        <f>0</f>
        <v>0</v>
      </c>
      <c r="G17" s="69">
        <f>14273</f>
        <v>14273</v>
      </c>
      <c r="H17" s="69">
        <f>222339.96</f>
        <v>222339.96</v>
      </c>
      <c r="I17" s="69">
        <f>0</f>
        <v>0</v>
      </c>
      <c r="J17" s="18">
        <f t="shared" si="0"/>
        <v>1.389120249047709</v>
      </c>
      <c r="K17" s="18">
        <f t="shared" si="1"/>
        <v>54.308154597833536</v>
      </c>
      <c r="L17" s="18">
        <f t="shared" si="2"/>
        <v>2.3928202459964028</v>
      </c>
    </row>
    <row r="18" spans="2:12" ht="12.95" customHeight="1" outlineLevel="1" x14ac:dyDescent="0.2">
      <c r="B18" s="10" t="s">
        <v>50</v>
      </c>
      <c r="C18" s="69">
        <f>412283194</f>
        <v>412283194</v>
      </c>
      <c r="D18" s="70">
        <f>242726219.38</f>
        <v>242726219.38</v>
      </c>
      <c r="E18" s="69">
        <f>0</f>
        <v>0</v>
      </c>
      <c r="F18" s="69">
        <f>0</f>
        <v>0</v>
      </c>
      <c r="G18" s="69">
        <f>2738</f>
        <v>2738</v>
      </c>
      <c r="H18" s="69">
        <f>111</f>
        <v>111</v>
      </c>
      <c r="I18" s="69">
        <f>0</f>
        <v>0</v>
      </c>
      <c r="J18" s="18">
        <f t="shared" si="0"/>
        <v>0.33834635375107902</v>
      </c>
      <c r="K18" s="18">
        <f t="shared" si="1"/>
        <v>58.873663276218821</v>
      </c>
      <c r="L18" s="18">
        <f t="shared" si="2"/>
        <v>0.5828163587491102</v>
      </c>
    </row>
    <row r="19" spans="2:12" ht="12.95" customHeight="1" outlineLevel="1" x14ac:dyDescent="0.2">
      <c r="B19" s="10" t="s">
        <v>51</v>
      </c>
      <c r="C19" s="69">
        <f>9588000</f>
        <v>9588000</v>
      </c>
      <c r="D19" s="70">
        <f>4864400.05</f>
        <v>4864400.05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6.7806931789573307E-3</v>
      </c>
      <c r="K19" s="18">
        <f t="shared" si="1"/>
        <v>50.734251668752606</v>
      </c>
      <c r="L19" s="18">
        <f t="shared" si="2"/>
        <v>1.1680039889722727E-2</v>
      </c>
    </row>
    <row r="20" spans="2:12" ht="12.95" customHeight="1" outlineLevel="1" x14ac:dyDescent="0.2">
      <c r="B20" s="10" t="s">
        <v>52</v>
      </c>
      <c r="C20" s="69">
        <f>13249000</f>
        <v>13249000</v>
      </c>
      <c r="D20" s="70">
        <f>5947149.82</f>
        <v>5947149.8200000003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8.2899839248853132E-3</v>
      </c>
      <c r="K20" s="18">
        <f t="shared" si="1"/>
        <v>44.887537323571593</v>
      </c>
      <c r="L20" s="18">
        <f t="shared" si="2"/>
        <v>1.4279859060472902E-2</v>
      </c>
    </row>
    <row r="21" spans="2:12" ht="12.95" customHeight="1" outlineLevel="1" x14ac:dyDescent="0.2">
      <c r="B21" s="10" t="s">
        <v>21</v>
      </c>
      <c r="C21" s="69">
        <f>5649156370.44</f>
        <v>5649156370.4399996</v>
      </c>
      <c r="D21" s="70">
        <f>2825878249.26</f>
        <v>2825878249.2600002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3.9391113338470518</v>
      </c>
      <c r="K21" s="18">
        <f t="shared" si="1"/>
        <v>50.023013419256777</v>
      </c>
      <c r="L21" s="18">
        <f t="shared" si="2"/>
        <v>6.7852911634717676</v>
      </c>
    </row>
    <row r="22" spans="2:12" ht="12.95" customHeight="1" outlineLevel="1" x14ac:dyDescent="0.2">
      <c r="B22" s="10" t="s">
        <v>22</v>
      </c>
      <c r="C22" s="69">
        <f>C6-SUM(C7:C21)</f>
        <v>19731079853.439987</v>
      </c>
      <c r="D22" s="69">
        <f t="shared" ref="D22:I22" si="3">D6-SUM(D7:D21)</f>
        <v>10960228599.55999</v>
      </c>
      <c r="E22" s="69">
        <f t="shared" si="3"/>
        <v>134963.45999997854</v>
      </c>
      <c r="F22" s="69">
        <f t="shared" si="3"/>
        <v>76</v>
      </c>
      <c r="G22" s="69">
        <f t="shared" si="3"/>
        <v>2079476.910000002</v>
      </c>
      <c r="H22" s="69">
        <f t="shared" si="3"/>
        <v>5775652.8199999928</v>
      </c>
      <c r="I22" s="69">
        <f t="shared" si="3"/>
        <v>37701.930000000168</v>
      </c>
      <c r="J22" s="18">
        <f t="shared" si="0"/>
        <v>15.277926679745322</v>
      </c>
      <c r="K22" s="18">
        <f t="shared" si="1"/>
        <v>55.548042382734288</v>
      </c>
      <c r="L22" s="18">
        <f t="shared" si="2"/>
        <v>26.316895388433473</v>
      </c>
    </row>
    <row r="23" spans="2:12" ht="26.25" customHeight="1" x14ac:dyDescent="0.2">
      <c r="B23" s="88" t="s">
        <v>106</v>
      </c>
      <c r="C23" s="67">
        <f>C24+C56+C58</f>
        <v>17594257455.380001</v>
      </c>
      <c r="D23" s="67">
        <f>D24+D56+D58</f>
        <v>9260540278.6899986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12.908659167778129</v>
      </c>
      <c r="K23" s="16">
        <f t="shared" si="1"/>
        <v>52.633879560846687</v>
      </c>
      <c r="L23" s="21"/>
    </row>
    <row r="24" spans="2:12" ht="25.5" customHeight="1" outlineLevel="1" x14ac:dyDescent="0.2">
      <c r="B24" s="90" t="s">
        <v>62</v>
      </c>
      <c r="C24" s="67">
        <f>C25+C32+C39</f>
        <v>14773840426.080002</v>
      </c>
      <c r="D24" s="67">
        <f>D25+D32+D39</f>
        <v>7944196752.8999996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11.073752195747963</v>
      </c>
      <c r="K24" s="16">
        <f t="shared" si="1"/>
        <v>53.77204926943876</v>
      </c>
      <c r="L24" s="22"/>
    </row>
    <row r="25" spans="2:12" ht="13.5" customHeight="1" outlineLevel="1" x14ac:dyDescent="0.2">
      <c r="B25" s="91" t="s">
        <v>53</v>
      </c>
      <c r="C25" s="67">
        <f>C26+C28+C30</f>
        <v>6885082493.2400007</v>
      </c>
      <c r="D25" s="67">
        <f>D26+D28+D30</f>
        <v>4074888495.6799998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5.6801595970029384</v>
      </c>
      <c r="K25" s="16">
        <f t="shared" si="1"/>
        <v>59.184308970602153</v>
      </c>
      <c r="L25" s="22"/>
    </row>
    <row r="26" spans="2:12" ht="22.5" customHeight="1" outlineLevel="1" x14ac:dyDescent="0.2">
      <c r="B26" s="93" t="s">
        <v>112</v>
      </c>
      <c r="C26" s="68">
        <f>4427781395.79</f>
        <v>4427781395.79</v>
      </c>
      <c r="D26" s="71">
        <f>2868499118.07</f>
        <v>2868499118.0700002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3.9985223673662218</v>
      </c>
      <c r="K26" s="18">
        <f t="shared" si="1"/>
        <v>64.784117860863944</v>
      </c>
      <c r="L26" s="22"/>
    </row>
    <row r="27" spans="2:12" ht="12.95" customHeight="1" outlineLevel="1" x14ac:dyDescent="0.2">
      <c r="B27" s="95" t="s">
        <v>6</v>
      </c>
      <c r="C27" s="69">
        <f>3089401</f>
        <v>3089401</v>
      </c>
      <c r="D27" s="69">
        <f>2195350</f>
        <v>2195350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3.0601913118605399E-3</v>
      </c>
      <c r="K27" s="18">
        <f t="shared" si="1"/>
        <v>71.060700763675541</v>
      </c>
      <c r="L27" s="22"/>
    </row>
    <row r="28" spans="2:12" ht="13.5" customHeight="1" outlineLevel="1" x14ac:dyDescent="0.2">
      <c r="B28" s="93" t="s">
        <v>113</v>
      </c>
      <c r="C28" s="69">
        <f>2434555403.57</f>
        <v>2434555403.5700002</v>
      </c>
      <c r="D28" s="70">
        <f>1197604233.51</f>
        <v>1197604233.51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1.6693912453297666</v>
      </c>
      <c r="K28" s="18">
        <f t="shared" si="1"/>
        <v>49.191907144682304</v>
      </c>
      <c r="L28" s="22"/>
    </row>
    <row r="29" spans="2:12" ht="12.95" customHeight="1" outlineLevel="1" x14ac:dyDescent="0.2">
      <c r="B29" s="95" t="s">
        <v>6</v>
      </c>
      <c r="C29" s="69">
        <f>177168879.09</f>
        <v>177168879.09</v>
      </c>
      <c r="D29" s="69">
        <f>28366138.66</f>
        <v>28366138.66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3.9540761645461261E-2</v>
      </c>
      <c r="K29" s="18">
        <f t="shared" si="1"/>
        <v>16.010790837362745</v>
      </c>
      <c r="L29" s="22"/>
    </row>
    <row r="30" spans="2:12" ht="33.75" outlineLevel="1" x14ac:dyDescent="0.2">
      <c r="B30" s="93" t="s">
        <v>8</v>
      </c>
      <c r="C30" s="69">
        <f>22745693.88</f>
        <v>22745693.879999999</v>
      </c>
      <c r="D30" s="70">
        <f>8785144.1</f>
        <v>8785144.0999999996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1.224598430695009E-2</v>
      </c>
      <c r="K30" s="18">
        <f t="shared" si="1"/>
        <v>38.623328645624071</v>
      </c>
      <c r="L30" s="22"/>
    </row>
    <row r="31" spans="2:12" ht="12.95" customHeight="1" outlineLevel="1" x14ac:dyDescent="0.2">
      <c r="B31" s="95" t="s">
        <v>6</v>
      </c>
      <c r="C31" s="69">
        <f>8148459</f>
        <v>8148459</v>
      </c>
      <c r="D31" s="69">
        <f>686770</f>
        <v>686770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9.5731777950962846E-4</v>
      </c>
      <c r="K31" s="18">
        <f t="shared" si="1"/>
        <v>8.4282193725218466</v>
      </c>
      <c r="L31" s="22"/>
    </row>
    <row r="32" spans="2:12" ht="13.5" customHeight="1" outlineLevel="1" x14ac:dyDescent="0.2">
      <c r="B32" s="92" t="s">
        <v>54</v>
      </c>
      <c r="C32" s="67">
        <f>C33+C35+C37</f>
        <v>2467454082.25</v>
      </c>
      <c r="D32" s="67">
        <f>D33+D35+D37</f>
        <v>1472245841.04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2.0522258098587565</v>
      </c>
      <c r="K32" s="16">
        <f t="shared" si="1"/>
        <v>59.666595282595964</v>
      </c>
      <c r="L32" s="22"/>
    </row>
    <row r="33" spans="2:12" ht="22.5" outlineLevel="1" x14ac:dyDescent="0.2">
      <c r="B33" s="93" t="s">
        <v>112</v>
      </c>
      <c r="C33" s="69">
        <f>2216452932.46</f>
        <v>2216452932.46</v>
      </c>
      <c r="D33" s="69">
        <f>1333203761.11</f>
        <v>1333203761.1099999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1.858409167872374</v>
      </c>
      <c r="K33" s="18">
        <f t="shared" si="1"/>
        <v>60.150330358258579</v>
      </c>
      <c r="L33" s="22"/>
    </row>
    <row r="34" spans="2:12" ht="12.95" customHeight="1" outlineLevel="1" x14ac:dyDescent="0.2">
      <c r="B34" s="95" t="s">
        <v>6</v>
      </c>
      <c r="C34" s="69">
        <f>89090378</f>
        <v>89090378</v>
      </c>
      <c r="D34" s="70">
        <f>22740607.14</f>
        <v>22740607.140000001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3.1699095085640901E-2</v>
      </c>
      <c r="K34" s="18">
        <f t="shared" si="1"/>
        <v>25.525323441775047</v>
      </c>
      <c r="L34" s="22"/>
    </row>
    <row r="35" spans="2:12" ht="12.95" customHeight="1" outlineLevel="1" x14ac:dyDescent="0.2">
      <c r="B35" s="93" t="s">
        <v>113</v>
      </c>
      <c r="C35" s="69">
        <f>175323444</f>
        <v>175323444</v>
      </c>
      <c r="D35" s="69">
        <f>77997638.68</f>
        <v>77997638.680000007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0.10872421082477673</v>
      </c>
      <c r="K35" s="18">
        <f t="shared" si="1"/>
        <v>44.487854505071212</v>
      </c>
      <c r="L35" s="22"/>
    </row>
    <row r="36" spans="2:12" ht="12.95" customHeight="1" outlineLevel="1" x14ac:dyDescent="0.2">
      <c r="B36" s="95" t="s">
        <v>6</v>
      </c>
      <c r="C36" s="69">
        <f>24164460</f>
        <v>24164460</v>
      </c>
      <c r="D36" s="70">
        <f>532125.75</f>
        <v>532125.75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7.4175261209705678E-4</v>
      </c>
      <c r="K36" s="18">
        <f t="shared" si="1"/>
        <v>2.2021007297493922</v>
      </c>
      <c r="L36" s="22"/>
    </row>
    <row r="37" spans="2:12" ht="33.75" outlineLevel="1" x14ac:dyDescent="0.2">
      <c r="B37" s="93" t="s">
        <v>8</v>
      </c>
      <c r="C37" s="69">
        <f>75677705.79</f>
        <v>75677705.790000007</v>
      </c>
      <c r="D37" s="69">
        <f>61044441.25</f>
        <v>61044441.25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8.5092431161605739E-2</v>
      </c>
      <c r="K37" s="18">
        <f t="shared" si="1"/>
        <v>80.663704868899927</v>
      </c>
      <c r="L37" s="22"/>
    </row>
    <row r="38" spans="2:12" ht="12.95" customHeight="1" outlineLevel="1" x14ac:dyDescent="0.2">
      <c r="B38" s="95" t="s">
        <v>6</v>
      </c>
      <c r="C38" s="69">
        <f>6032422.38</f>
        <v>6032422.3799999999</v>
      </c>
      <c r="D38" s="70">
        <f>1039831.68</f>
        <v>1039831.68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1.4494654032083034E-3</v>
      </c>
      <c r="K38" s="18">
        <f t="shared" si="1"/>
        <v>17.237381842615601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5421303850.5900002</v>
      </c>
      <c r="D39" s="67">
        <f>D40+D42+D44+D48+D50+D46+D52+D54</f>
        <v>2397062416.1799998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3.3413667888862681</v>
      </c>
      <c r="K39" s="16">
        <f t="shared" si="1"/>
        <v>44.215607208939737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202763.2</f>
        <v>202763.2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2.826402090805753E-4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781128735.98</f>
        <v>781128735.98000002</v>
      </c>
      <c r="D44" s="71">
        <f>394720505.88</f>
        <v>394720505.88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0.55021762484668646</v>
      </c>
      <c r="K44" s="18">
        <f t="shared" si="1"/>
        <v>50.532068236458578</v>
      </c>
      <c r="L44" s="22"/>
    </row>
    <row r="45" spans="2:12" ht="12.95" customHeight="1" outlineLevel="1" x14ac:dyDescent="0.2">
      <c r="B45" s="95" t="s">
        <v>6</v>
      </c>
      <c r="C45" s="69">
        <f>1958773.3</f>
        <v>1958773.3</v>
      </c>
      <c r="D45" s="69">
        <f>2537913.73</f>
        <v>2537913.73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3.5377053985913751E-3</v>
      </c>
      <c r="K45" s="18">
        <f t="shared" si="1"/>
        <v>129.56648582048774</v>
      </c>
      <c r="L45" s="22"/>
    </row>
    <row r="46" spans="2:12" ht="33.75" outlineLevel="1" x14ac:dyDescent="0.2">
      <c r="B46" s="93" t="s">
        <v>79</v>
      </c>
      <c r="C46" s="69">
        <f>443712537.53</f>
        <v>443712537.52999997</v>
      </c>
      <c r="D46" s="69">
        <f>269156956.29</f>
        <v>269156956.29000002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0.37518927695605947</v>
      </c>
      <c r="K46" s="18">
        <f>IF(C46=0,"",100*D46/C46)</f>
        <v>60.660209826007453</v>
      </c>
      <c r="L46" s="22"/>
    </row>
    <row r="47" spans="2:12" ht="12.95" customHeight="1" outlineLevel="1" x14ac:dyDescent="0.2">
      <c r="B47" s="95" t="s">
        <v>6</v>
      </c>
      <c r="C47" s="69">
        <f>329064974.03</f>
        <v>329064974.02999997</v>
      </c>
      <c r="D47" s="69">
        <f>164911647.2</f>
        <v>164911647.19999999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0.22987732707133279</v>
      </c>
      <c r="K47" s="18">
        <f>IF(C47=0,"",100*D47/C47)</f>
        <v>50.11522350141265</v>
      </c>
      <c r="L47" s="22"/>
    </row>
    <row r="48" spans="2:12" ht="12.95" customHeight="1" outlineLevel="1" x14ac:dyDescent="0.2">
      <c r="B48" s="93" t="s">
        <v>7</v>
      </c>
      <c r="C48" s="69">
        <f>240266023.14</f>
        <v>240266023.13999999</v>
      </c>
      <c r="D48" s="70">
        <f>28954960.44</f>
        <v>28954960.440000001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4.0361545254175249E-2</v>
      </c>
      <c r="K48" s="18">
        <f t="shared" si="1"/>
        <v>12.051208931496864</v>
      </c>
      <c r="L48" s="22"/>
    </row>
    <row r="49" spans="2:12" ht="12.95" customHeight="1" outlineLevel="1" x14ac:dyDescent="0.2">
      <c r="B49" s="95" t="s">
        <v>6</v>
      </c>
      <c r="C49" s="69">
        <f>220930265.93</f>
        <v>220930265.93000001</v>
      </c>
      <c r="D49" s="69">
        <f>18644624.24</f>
        <v>18644624.239999998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2.5989531105360154E-2</v>
      </c>
      <c r="K49" s="18">
        <f t="shared" si="1"/>
        <v>8.4391444338854864</v>
      </c>
      <c r="L49" s="22"/>
    </row>
    <row r="50" spans="2:12" ht="67.5" outlineLevel="1" x14ac:dyDescent="0.2">
      <c r="B50" s="93" t="s">
        <v>100</v>
      </c>
      <c r="C50" s="69">
        <f>2084000</f>
        <v>2084000</v>
      </c>
      <c r="D50" s="69">
        <f>140000</f>
        <v>140000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1.9515192732843308E-4</v>
      </c>
      <c r="K50" s="18">
        <f>IF(C50=0,"",100*D50/C50)</f>
        <v>6.7178502879078694</v>
      </c>
      <c r="L50" s="22"/>
    </row>
    <row r="51" spans="2:12" ht="12.95" customHeight="1" outlineLevel="1" x14ac:dyDescent="0.2">
      <c r="B51" s="95" t="s">
        <v>99</v>
      </c>
      <c r="C51" s="69">
        <f>2044000</f>
        <v>2044000</v>
      </c>
      <c r="D51" s="69">
        <f>0</f>
        <v>0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0</v>
      </c>
      <c r="K51" s="18">
        <f>IF(C51=0,"",100*D51/C51)</f>
        <v>0</v>
      </c>
      <c r="L51" s="22"/>
    </row>
    <row r="52" spans="2:12" ht="45" outlineLevel="1" x14ac:dyDescent="0.2">
      <c r="B52" s="94" t="s">
        <v>98</v>
      </c>
      <c r="C52" s="72">
        <f>2853107248.2</f>
        <v>2853107248.1999998</v>
      </c>
      <c r="D52" s="72">
        <f>640319433.71</f>
        <v>640319433.71000004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0.89256836853112387</v>
      </c>
      <c r="K52" s="25">
        <f>IF(C52=0,"",100*D52/C52)</f>
        <v>22.442879920268396</v>
      </c>
      <c r="L52" s="22"/>
    </row>
    <row r="53" spans="2:12" ht="12.95" customHeight="1" outlineLevel="1" x14ac:dyDescent="0.2">
      <c r="B53" s="95" t="s">
        <v>99</v>
      </c>
      <c r="C53" s="69">
        <f>2811753645.68</f>
        <v>2811753645.6799998</v>
      </c>
      <c r="D53" s="69">
        <f>607381957.76</f>
        <v>607381957.75999999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0.84665542629557811</v>
      </c>
      <c r="K53" s="18">
        <f t="shared" ref="K53:K69" si="4">IF(C53=0,"",100*D53/C53)</f>
        <v>21.601535351192176</v>
      </c>
      <c r="L53" s="22"/>
    </row>
    <row r="54" spans="2:12" ht="22.5" outlineLevel="1" x14ac:dyDescent="0.2">
      <c r="B54" s="94" t="s">
        <v>114</v>
      </c>
      <c r="C54" s="69">
        <f>1101005305.74</f>
        <v>1101005305.74</v>
      </c>
      <c r="D54" s="69">
        <f>1063567796.66</f>
        <v>1063567796.66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1.4825521811618143</v>
      </c>
      <c r="K54" s="18">
        <f t="shared" si="4"/>
        <v>96.59969766859227</v>
      </c>
      <c r="L54" s="22"/>
    </row>
    <row r="55" spans="2:12" ht="12.95" customHeight="1" outlineLevel="1" x14ac:dyDescent="0.2">
      <c r="B55" s="95" t="s">
        <v>6</v>
      </c>
      <c r="C55" s="69">
        <f>770000</f>
        <v>770000</v>
      </c>
      <c r="D55" s="69">
        <f>2388401.03</f>
        <v>2388401.0299999998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3.329293315983676E-3</v>
      </c>
      <c r="K55" s="18">
        <f t="shared" si="4"/>
        <v>310.1819519480519</v>
      </c>
      <c r="L55" s="22"/>
    </row>
    <row r="56" spans="2:12" ht="13.5" customHeight="1" outlineLevel="1" x14ac:dyDescent="0.2">
      <c r="B56" s="90" t="s">
        <v>85</v>
      </c>
      <c r="C56" s="67">
        <f>100079256.1</f>
        <v>100079256.09999999</v>
      </c>
      <c r="D56" s="67">
        <f>27791762.74</f>
        <v>27791762.739999998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3.8740114732610957E-2</v>
      </c>
      <c r="K56" s="16">
        <f t="shared" si="4"/>
        <v>27.769753516383304</v>
      </c>
      <c r="L56" s="22"/>
    </row>
    <row r="57" spans="2:12" ht="12.95" customHeight="1" outlineLevel="1" x14ac:dyDescent="0.2">
      <c r="B57" s="93" t="s">
        <v>86</v>
      </c>
      <c r="C57" s="69">
        <f>64863289.18</f>
        <v>64863289.18</v>
      </c>
      <c r="D57" s="69">
        <f>13996808.03</f>
        <v>13996808.029999999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1.951074331071849E-2</v>
      </c>
      <c r="K57" s="18">
        <f t="shared" si="4"/>
        <v>21.578936570974552</v>
      </c>
      <c r="L57" s="22"/>
    </row>
    <row r="58" spans="2:12" ht="13.5" customHeight="1" outlineLevel="1" x14ac:dyDescent="0.2">
      <c r="B58" s="90" t="s">
        <v>87</v>
      </c>
      <c r="C58" s="73">
        <f>2720337773.2</f>
        <v>2720337773.1999998</v>
      </c>
      <c r="D58" s="73">
        <f>1288551763.05</f>
        <v>1288551763.05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1.7961668572975567</v>
      </c>
      <c r="K58" s="23">
        <f t="shared" si="4"/>
        <v>47.367344443195563</v>
      </c>
      <c r="L58" s="22"/>
    </row>
    <row r="59" spans="2:12" ht="12.95" customHeight="1" outlineLevel="1" x14ac:dyDescent="0.2">
      <c r="B59" s="94" t="s">
        <v>88</v>
      </c>
      <c r="C59" s="72">
        <f>2366823078.81</f>
        <v>2366823078.8099999</v>
      </c>
      <c r="D59" s="72">
        <f>1173429568.11</f>
        <v>1173429568.1099999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1.6356931557202665</v>
      </c>
      <c r="K59" s="25">
        <f t="shared" si="4"/>
        <v>49.578254438011527</v>
      </c>
      <c r="L59" s="22"/>
    </row>
    <row r="60" spans="2:12" s="26" customFormat="1" ht="25.5" customHeight="1" x14ac:dyDescent="0.2">
      <c r="B60" s="88" t="s">
        <v>63</v>
      </c>
      <c r="C60" s="67">
        <f>C61+C62+C63+C64+C68</f>
        <v>34401844140.300003</v>
      </c>
      <c r="D60" s="67">
        <f>D61+D62+D63+D64+D68</f>
        <v>20831320169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29.037659141257215</v>
      </c>
      <c r="K60" s="16">
        <f t="shared" si="4"/>
        <v>60.552917117013422</v>
      </c>
      <c r="L60" s="27"/>
    </row>
    <row r="61" spans="2:12" ht="12.95" customHeight="1" outlineLevel="1" x14ac:dyDescent="0.2">
      <c r="B61" s="10" t="s">
        <v>39</v>
      </c>
      <c r="C61" s="69">
        <f>31153235198</f>
        <v>31153235198</v>
      </c>
      <c r="D61" s="69">
        <f>19216747168</f>
        <v>19216747168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26.787037477274346</v>
      </c>
      <c r="K61" s="18">
        <f t="shared" si="4"/>
        <v>61.684595663546659</v>
      </c>
      <c r="L61" s="22"/>
    </row>
    <row r="62" spans="2:12" ht="12.95" customHeight="1" outlineLevel="1" x14ac:dyDescent="0.2">
      <c r="B62" s="10" t="s">
        <v>125</v>
      </c>
      <c r="C62" s="69">
        <f>1068113784.3</f>
        <v>1068113784.3</v>
      </c>
      <c r="D62" s="69">
        <f>565781316</f>
        <v>565781316</v>
      </c>
      <c r="E62" s="19" t="s">
        <v>56</v>
      </c>
      <c r="F62" s="19" t="s">
        <v>56</v>
      </c>
      <c r="G62" s="19" t="s">
        <v>56</v>
      </c>
      <c r="H62" s="19" t="s">
        <v>56</v>
      </c>
      <c r="I62" s="19" t="s">
        <v>56</v>
      </c>
      <c r="J62" s="18">
        <f t="shared" si="0"/>
        <v>0.78866653045583734</v>
      </c>
      <c r="K62" s="18">
        <f>IF(C62=0,"",100*D62/C62)</f>
        <v>52.970135234308486</v>
      </c>
      <c r="L62" s="22"/>
    </row>
    <row r="63" spans="2:12" s="26" customFormat="1" ht="12.95" customHeight="1" outlineLevel="1" x14ac:dyDescent="0.2">
      <c r="B63" s="10" t="s">
        <v>35</v>
      </c>
      <c r="C63" s="69">
        <f>117023026</f>
        <v>117023026</v>
      </c>
      <c r="D63" s="69">
        <f>18652459</f>
        <v>18652459</v>
      </c>
      <c r="E63" s="19" t="s">
        <v>56</v>
      </c>
      <c r="F63" s="19" t="s">
        <v>56</v>
      </c>
      <c r="G63" s="19" t="s">
        <v>56</v>
      </c>
      <c r="H63" s="19" t="s">
        <v>56</v>
      </c>
      <c r="I63" s="19" t="s">
        <v>56</v>
      </c>
      <c r="J63" s="18">
        <f t="shared" si="0"/>
        <v>2.6000452309032696E-2</v>
      </c>
      <c r="K63" s="18">
        <f>IF(C63=0,"",100*D63/C63)</f>
        <v>15.93913577315972</v>
      </c>
      <c r="L63" s="27"/>
    </row>
    <row r="64" spans="2:12" s="26" customFormat="1" ht="25.5" customHeight="1" outlineLevel="1" x14ac:dyDescent="0.2">
      <c r="B64" s="90" t="s">
        <v>107</v>
      </c>
      <c r="C64" s="67">
        <f>C65+C66+C67</f>
        <v>495532317</v>
      </c>
      <c r="D64" s="67">
        <f>D65+D66+D67</f>
        <v>246169284</v>
      </c>
      <c r="E64" s="20" t="s">
        <v>56</v>
      </c>
      <c r="F64" s="20" t="s">
        <v>56</v>
      </c>
      <c r="G64" s="20" t="s">
        <v>56</v>
      </c>
      <c r="H64" s="20" t="s">
        <v>56</v>
      </c>
      <c r="I64" s="20" t="s">
        <v>56</v>
      </c>
      <c r="J64" s="16">
        <f t="shared" si="0"/>
        <v>0.34314578729757433</v>
      </c>
      <c r="K64" s="16">
        <f t="shared" si="4"/>
        <v>49.677745639342426</v>
      </c>
      <c r="L64" s="27"/>
    </row>
    <row r="65" spans="1:26" ht="12.95" customHeight="1" outlineLevel="1" x14ac:dyDescent="0.2">
      <c r="B65" s="93" t="s">
        <v>40</v>
      </c>
      <c r="C65" s="68">
        <f>381048734</f>
        <v>381048734</v>
      </c>
      <c r="D65" s="71">
        <f>190524366</f>
        <v>190524366</v>
      </c>
      <c r="E65" s="17" t="s">
        <v>56</v>
      </c>
      <c r="F65" s="17" t="s">
        <v>56</v>
      </c>
      <c r="G65" s="17" t="s">
        <v>56</v>
      </c>
      <c r="H65" s="17" t="s">
        <v>56</v>
      </c>
      <c r="I65" s="17" t="s">
        <v>56</v>
      </c>
      <c r="J65" s="18">
        <f t="shared" si="0"/>
        <v>0.2655799801994842</v>
      </c>
      <c r="K65" s="18">
        <f t="shared" si="4"/>
        <v>49.999999737566377</v>
      </c>
      <c r="L65" s="22"/>
    </row>
    <row r="66" spans="1:26" ht="12.95" customHeight="1" outlineLevel="1" x14ac:dyDescent="0.2">
      <c r="B66" s="93" t="s">
        <v>38</v>
      </c>
      <c r="C66" s="69">
        <f>3193822</f>
        <v>3193822</v>
      </c>
      <c r="D66" s="69">
        <f>0</f>
        <v>0</v>
      </c>
      <c r="E66" s="19" t="s">
        <v>56</v>
      </c>
      <c r="F66" s="19" t="s">
        <v>56</v>
      </c>
      <c r="G66" s="19" t="s">
        <v>56</v>
      </c>
      <c r="H66" s="19" t="s">
        <v>56</v>
      </c>
      <c r="I66" s="19" t="s">
        <v>56</v>
      </c>
      <c r="J66" s="18">
        <f t="shared" si="0"/>
        <v>0</v>
      </c>
      <c r="K66" s="18">
        <f t="shared" si="4"/>
        <v>0</v>
      </c>
      <c r="L66" s="22"/>
    </row>
    <row r="67" spans="1:26" ht="12.95" customHeight="1" outlineLevel="1" x14ac:dyDescent="0.2">
      <c r="B67" s="93" t="s">
        <v>37</v>
      </c>
      <c r="C67" s="69">
        <f>111289761</f>
        <v>111289761</v>
      </c>
      <c r="D67" s="69">
        <f>55644918</f>
        <v>55644918</v>
      </c>
      <c r="E67" s="19" t="s">
        <v>56</v>
      </c>
      <c r="F67" s="19" t="s">
        <v>56</v>
      </c>
      <c r="G67" s="19" t="s">
        <v>56</v>
      </c>
      <c r="H67" s="19" t="s">
        <v>56</v>
      </c>
      <c r="I67" s="19" t="s">
        <v>56</v>
      </c>
      <c r="J67" s="18">
        <f t="shared" si="0"/>
        <v>7.7565807098090134E-2</v>
      </c>
      <c r="K67" s="18">
        <f>IF(C67=0,"",100*D67/C67)</f>
        <v>50.000033695822204</v>
      </c>
      <c r="L67" s="22"/>
    </row>
    <row r="68" spans="1:26" s="26" customFormat="1" ht="40.5" customHeight="1" outlineLevel="1" x14ac:dyDescent="0.2">
      <c r="B68" s="90" t="s">
        <v>108</v>
      </c>
      <c r="C68" s="67">
        <f>C69+C70</f>
        <v>1567939815</v>
      </c>
      <c r="D68" s="67">
        <f>D69+D70</f>
        <v>783969942</v>
      </c>
      <c r="E68" s="20" t="s">
        <v>56</v>
      </c>
      <c r="F68" s="20" t="s">
        <v>56</v>
      </c>
      <c r="G68" s="20" t="s">
        <v>56</v>
      </c>
      <c r="H68" s="20" t="s">
        <v>56</v>
      </c>
      <c r="I68" s="20" t="s">
        <v>56</v>
      </c>
      <c r="J68" s="16">
        <f t="shared" si="0"/>
        <v>1.0928088939204279</v>
      </c>
      <c r="K68" s="16">
        <f t="shared" si="4"/>
        <v>50.000002200339559</v>
      </c>
      <c r="L68" s="27"/>
    </row>
    <row r="69" spans="1:26" ht="12.95" customHeight="1" outlineLevel="1" x14ac:dyDescent="0.2">
      <c r="B69" s="93" t="s">
        <v>37</v>
      </c>
      <c r="C69" s="68">
        <f>1380938821</f>
        <v>1380938821</v>
      </c>
      <c r="D69" s="71">
        <f>690469440</f>
        <v>690469440</v>
      </c>
      <c r="E69" s="17" t="s">
        <v>56</v>
      </c>
      <c r="F69" s="17" t="s">
        <v>56</v>
      </c>
      <c r="G69" s="17" t="s">
        <v>56</v>
      </c>
      <c r="H69" s="17" t="s">
        <v>56</v>
      </c>
      <c r="I69" s="17" t="s">
        <v>56</v>
      </c>
      <c r="J69" s="18">
        <f t="shared" si="0"/>
        <v>0.96247458555274201</v>
      </c>
      <c r="K69" s="18">
        <f t="shared" si="4"/>
        <v>50.00000213622787</v>
      </c>
      <c r="L69" s="22"/>
    </row>
    <row r="70" spans="1:26" ht="12.95" customHeight="1" outlineLevel="1" x14ac:dyDescent="0.2">
      <c r="B70" s="93" t="s">
        <v>40</v>
      </c>
      <c r="C70" s="68">
        <f>187000994</f>
        <v>187000994</v>
      </c>
      <c r="D70" s="71">
        <f>93500502</f>
        <v>93500502</v>
      </c>
      <c r="E70" s="17" t="s">
        <v>56</v>
      </c>
      <c r="F70" s="17" t="s">
        <v>56</v>
      </c>
      <c r="G70" s="17" t="s">
        <v>56</v>
      </c>
      <c r="H70" s="17" t="s">
        <v>56</v>
      </c>
      <c r="I70" s="17" t="s">
        <v>56</v>
      </c>
      <c r="J70" s="18">
        <f t="shared" si="0"/>
        <v>0.13033430836768581</v>
      </c>
      <c r="K70" s="18">
        <f>IF(C70=0,"",100*D70/C70)</f>
        <v>50.000002673782582</v>
      </c>
      <c r="L70" s="22"/>
    </row>
    <row r="71" spans="1:26" ht="11.25" customHeight="1" x14ac:dyDescent="0.2">
      <c r="B71" s="28"/>
      <c r="C71" s="29"/>
      <c r="D71" s="29"/>
      <c r="E71" s="29"/>
      <c r="F71" s="29"/>
      <c r="G71" s="29"/>
      <c r="H71" s="29"/>
      <c r="I71" s="29"/>
      <c r="J71" s="21"/>
      <c r="K71" s="21"/>
      <c r="L71" s="22"/>
    </row>
    <row r="72" spans="1:26" ht="13.5" customHeight="1" x14ac:dyDescent="0.2">
      <c r="B72" s="65" t="s">
        <v>5</v>
      </c>
      <c r="C72" s="20">
        <f t="shared" ref="C72:I72" si="5">+C5</f>
        <v>131766027615.34</v>
      </c>
      <c r="D72" s="20">
        <f t="shared" si="5"/>
        <v>71738978915.839996</v>
      </c>
      <c r="E72" s="20">
        <f t="shared" si="5"/>
        <v>501287200.95999998</v>
      </c>
      <c r="F72" s="20">
        <f t="shared" si="5"/>
        <v>157600506.66999999</v>
      </c>
      <c r="G72" s="20">
        <f t="shared" si="5"/>
        <v>11620193.73</v>
      </c>
      <c r="H72" s="20">
        <f t="shared" si="5"/>
        <v>63200806</v>
      </c>
      <c r="I72" s="20">
        <f t="shared" si="5"/>
        <v>2972402.27</v>
      </c>
      <c r="J72" s="16">
        <f t="shared" si="0"/>
        <v>100</v>
      </c>
      <c r="K72" s="16">
        <f>IF(C72=0,"",100*D72/C72)</f>
        <v>54.444214653920596</v>
      </c>
      <c r="L72" s="22"/>
    </row>
    <row r="73" spans="1:26" x14ac:dyDescent="0.2">
      <c r="B73" s="100" t="s">
        <v>74</v>
      </c>
      <c r="C73" s="19">
        <f>10376007673.94</f>
        <v>10376007673.940001</v>
      </c>
      <c r="D73" s="19">
        <f>3970899107.29</f>
        <v>3970899107.29</v>
      </c>
      <c r="E73" s="19">
        <f>0</f>
        <v>0</v>
      </c>
      <c r="F73" s="19">
        <f>0</f>
        <v>0</v>
      </c>
      <c r="G73" s="19">
        <f>0</f>
        <v>0</v>
      </c>
      <c r="H73" s="19">
        <f>0</f>
        <v>0</v>
      </c>
      <c r="I73" s="19">
        <f>0</f>
        <v>0</v>
      </c>
      <c r="J73" s="18">
        <f t="shared" si="0"/>
        <v>5.5352043858171278</v>
      </c>
      <c r="K73" s="18">
        <f>IF(C73=0,"",100*D73/C73)</f>
        <v>38.270009353049772</v>
      </c>
      <c r="L73" s="22"/>
    </row>
    <row r="74" spans="1:26" s="26" customFormat="1" x14ac:dyDescent="0.2">
      <c r="A74" s="9"/>
      <c r="B74" s="100" t="s">
        <v>75</v>
      </c>
      <c r="C74" s="19">
        <f>C72-C73</f>
        <v>121390019941.39999</v>
      </c>
      <c r="D74" s="19">
        <f t="shared" ref="D74:I74" si="6">D72-D73</f>
        <v>67768079808.549995</v>
      </c>
      <c r="E74" s="19">
        <f t="shared" si="6"/>
        <v>501287200.95999998</v>
      </c>
      <c r="F74" s="19">
        <f t="shared" si="6"/>
        <v>157600506.66999999</v>
      </c>
      <c r="G74" s="19">
        <f t="shared" si="6"/>
        <v>11620193.73</v>
      </c>
      <c r="H74" s="19">
        <f t="shared" si="6"/>
        <v>63200806</v>
      </c>
      <c r="I74" s="19">
        <f t="shared" si="6"/>
        <v>2972402.27</v>
      </c>
      <c r="J74" s="18">
        <f t="shared" si="0"/>
        <v>94.464795614182876</v>
      </c>
      <c r="K74" s="18">
        <f>IF(C74=0,"",100*D74/C74)</f>
        <v>55.82673092999282</v>
      </c>
      <c r="L74" s="30"/>
    </row>
    <row r="75" spans="1:26" s="26" customFormat="1" x14ac:dyDescent="0.2">
      <c r="A75" s="9"/>
      <c r="B75" s="106" t="s">
        <v>116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s="26" customFormat="1" x14ac:dyDescent="0.2">
      <c r="A76" s="9"/>
      <c r="B76" s="105" t="s">
        <v>115</v>
      </c>
      <c r="C76" s="29"/>
      <c r="D76" s="29"/>
      <c r="E76" s="29"/>
      <c r="F76" s="29"/>
      <c r="G76" s="29"/>
      <c r="H76" s="29"/>
      <c r="I76" s="29"/>
      <c r="J76" s="21"/>
      <c r="K76" s="21"/>
      <c r="L76" s="30"/>
    </row>
    <row r="77" spans="1:26" ht="18" x14ac:dyDescent="0.2">
      <c r="B77" s="87" t="str">
        <f>CONCATENATE("Informacja z wykonania budżetów miast na prawach powiatu za ",$D$138," ",$C$139," rok    ",$C$141,"")</f>
        <v xml:space="preserve">Informacja z wykonania budżetów miast na prawach powiatu za II Kwartały 2024 rok    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</row>
    <row r="78" spans="1:26" s="26" customFormat="1" x14ac:dyDescent="0.2">
      <c r="B78" s="31"/>
      <c r="C78" s="32"/>
      <c r="D78" s="32"/>
      <c r="E78" s="32"/>
      <c r="F78" s="33"/>
      <c r="G78" s="33"/>
      <c r="H78" s="33"/>
      <c r="I78" s="33"/>
      <c r="J78" s="33"/>
      <c r="K78" s="1"/>
      <c r="L78" s="1"/>
      <c r="M78" s="34"/>
    </row>
    <row r="79" spans="1:26" ht="29.25" customHeight="1" x14ac:dyDescent="0.2">
      <c r="B79" s="127" t="s">
        <v>0</v>
      </c>
      <c r="C79" s="125" t="s">
        <v>46</v>
      </c>
      <c r="D79" s="125" t="s">
        <v>48</v>
      </c>
      <c r="E79" s="125" t="s">
        <v>47</v>
      </c>
      <c r="F79" s="125" t="s">
        <v>10</v>
      </c>
      <c r="G79" s="125"/>
      <c r="H79" s="125"/>
      <c r="I79" s="129" t="s">
        <v>84</v>
      </c>
      <c r="J79" s="125" t="s">
        <v>2</v>
      </c>
      <c r="K79" s="128" t="s">
        <v>16</v>
      </c>
      <c r="M79" s="35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" customHeight="1" x14ac:dyDescent="0.2">
      <c r="B80" s="127"/>
      <c r="C80" s="125"/>
      <c r="D80" s="125"/>
      <c r="E80" s="123"/>
      <c r="F80" s="110" t="s">
        <v>49</v>
      </c>
      <c r="G80" s="122" t="s">
        <v>27</v>
      </c>
      <c r="H80" s="123"/>
      <c r="I80" s="130"/>
      <c r="J80" s="125"/>
      <c r="K80" s="128"/>
      <c r="L80" s="2"/>
      <c r="M80" s="3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58.5" customHeight="1" x14ac:dyDescent="0.2">
      <c r="B81" s="127"/>
      <c r="C81" s="125"/>
      <c r="D81" s="125"/>
      <c r="E81" s="123"/>
      <c r="F81" s="123"/>
      <c r="G81" s="7" t="s">
        <v>44</v>
      </c>
      <c r="H81" s="7" t="s">
        <v>45</v>
      </c>
      <c r="I81" s="131"/>
      <c r="J81" s="125"/>
      <c r="K81" s="128"/>
      <c r="L81" s="2"/>
      <c r="M81" s="35"/>
      <c r="N81" s="52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3.5" customHeight="1" x14ac:dyDescent="0.2">
      <c r="B82" s="127"/>
      <c r="C82" s="119" t="s">
        <v>78</v>
      </c>
      <c r="D82" s="120"/>
      <c r="E82" s="120"/>
      <c r="F82" s="120"/>
      <c r="G82" s="120"/>
      <c r="H82" s="120"/>
      <c r="I82" s="121"/>
      <c r="J82" s="116" t="s">
        <v>4</v>
      </c>
      <c r="K82" s="116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11.25" customHeight="1" x14ac:dyDescent="0.2">
      <c r="B83" s="6">
        <v>1</v>
      </c>
      <c r="C83" s="8">
        <v>2</v>
      </c>
      <c r="D83" s="8">
        <v>3</v>
      </c>
      <c r="E83" s="8">
        <v>4</v>
      </c>
      <c r="F83" s="6">
        <v>5</v>
      </c>
      <c r="G83" s="6">
        <v>6</v>
      </c>
      <c r="H83" s="8">
        <v>7</v>
      </c>
      <c r="I83" s="8">
        <v>8</v>
      </c>
      <c r="J83" s="6">
        <v>9</v>
      </c>
      <c r="K83" s="8">
        <v>10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2:26" ht="25.5" customHeight="1" x14ac:dyDescent="0.2">
      <c r="B84" s="65" t="s">
        <v>64</v>
      </c>
      <c r="C84" s="74">
        <f>144410195602.87</f>
        <v>144410195602.87</v>
      </c>
      <c r="D84" s="74">
        <f>65478025945.5</f>
        <v>65478025945.5</v>
      </c>
      <c r="E84" s="74">
        <f>115868966265.78</f>
        <v>115868966265.78</v>
      </c>
      <c r="F84" s="74">
        <f>4479464357.93</f>
        <v>4479464357.9300003</v>
      </c>
      <c r="G84" s="74">
        <f>1463131.67</f>
        <v>1463131.67</v>
      </c>
      <c r="H84" s="74">
        <f>7188132.06</f>
        <v>7188132.0599999996</v>
      </c>
      <c r="I84" s="74">
        <f>0</f>
        <v>0</v>
      </c>
      <c r="J84" s="43">
        <f>IF($D$84=0,"",100*$D84/$D$84)</f>
        <v>100</v>
      </c>
      <c r="K84" s="43">
        <f>IF(C84=0,"",100*D84/C84)</f>
        <v>45.341691888269068</v>
      </c>
      <c r="N84" s="53"/>
      <c r="O84" s="54"/>
    </row>
    <row r="85" spans="2:26" x14ac:dyDescent="0.2">
      <c r="B85" s="88" t="s">
        <v>12</v>
      </c>
      <c r="C85" s="75">
        <f>22783229976.78</f>
        <v>22783229976.779999</v>
      </c>
      <c r="D85" s="75">
        <f>5268512885.04</f>
        <v>5268512885.04</v>
      </c>
      <c r="E85" s="75">
        <f>13976376057.94</f>
        <v>13976376057.940001</v>
      </c>
      <c r="F85" s="75">
        <f>703782600.44</f>
        <v>703782600.44000006</v>
      </c>
      <c r="G85" s="75">
        <f>567.01</f>
        <v>567.01</v>
      </c>
      <c r="H85" s="75">
        <f>734351.82</f>
        <v>734351.82</v>
      </c>
      <c r="I85" s="75">
        <f>0</f>
        <v>0</v>
      </c>
      <c r="J85" s="43">
        <f t="shared" ref="J85:J93" si="7">IF($D$84=0,"",100*$D85/$D$84)</f>
        <v>8.046230485667353</v>
      </c>
      <c r="K85" s="43">
        <f t="shared" ref="K85:K93" si="8">IF(C85=0,"",100*D85/C85)</f>
        <v>23.124521371243297</v>
      </c>
      <c r="N85" s="55"/>
      <c r="O85" s="54"/>
    </row>
    <row r="86" spans="2:26" ht="12.95" customHeight="1" outlineLevel="1" x14ac:dyDescent="0.2">
      <c r="B86" s="10" t="s">
        <v>11</v>
      </c>
      <c r="C86" s="69">
        <f>20903536365.07</f>
        <v>20903536365.07</v>
      </c>
      <c r="D86" s="69">
        <f>4492066120.3</f>
        <v>4492066120.3000002</v>
      </c>
      <c r="E86" s="69">
        <f>12919448527.66</f>
        <v>12919448527.66</v>
      </c>
      <c r="F86" s="69">
        <f>682293206.61</f>
        <v>682293206.61000001</v>
      </c>
      <c r="G86" s="69">
        <f>567.01</f>
        <v>567.01</v>
      </c>
      <c r="H86" s="69">
        <f>734351.82</f>
        <v>734351.82</v>
      </c>
      <c r="I86" s="69">
        <f>0</f>
        <v>0</v>
      </c>
      <c r="J86" s="43">
        <f t="shared" si="7"/>
        <v>6.8604177591409483</v>
      </c>
      <c r="K86" s="43">
        <f t="shared" si="8"/>
        <v>21.489503220164622</v>
      </c>
      <c r="N86" s="29"/>
      <c r="O86" s="54"/>
    </row>
    <row r="87" spans="2:26" ht="25.5" customHeight="1" x14ac:dyDescent="0.2">
      <c r="B87" s="88" t="s">
        <v>65</v>
      </c>
      <c r="C87" s="75">
        <f t="shared" ref="C87:I87" si="9">C84-C85</f>
        <v>121626965626.09</v>
      </c>
      <c r="D87" s="75">
        <f t="shared" si="9"/>
        <v>60209513060.459999</v>
      </c>
      <c r="E87" s="75">
        <f>E84-E85</f>
        <v>101892590207.84</v>
      </c>
      <c r="F87" s="75">
        <f t="shared" si="9"/>
        <v>3775681757.4900002</v>
      </c>
      <c r="G87" s="75">
        <f t="shared" si="9"/>
        <v>1462564.66</v>
      </c>
      <c r="H87" s="75">
        <f t="shared" si="9"/>
        <v>6453780.2399999993</v>
      </c>
      <c r="I87" s="75">
        <f t="shared" si="9"/>
        <v>0</v>
      </c>
      <c r="J87" s="43">
        <f t="shared" si="7"/>
        <v>91.953769514332649</v>
      </c>
      <c r="K87" s="43">
        <f t="shared" si="8"/>
        <v>49.503424467201015</v>
      </c>
      <c r="N87" s="55"/>
      <c r="O87" s="54"/>
    </row>
    <row r="88" spans="2:26" ht="24" customHeight="1" outlineLevel="1" x14ac:dyDescent="0.2">
      <c r="B88" s="10" t="s">
        <v>105</v>
      </c>
      <c r="C88" s="69">
        <f>50539370057.27</f>
        <v>50539370057.269997</v>
      </c>
      <c r="D88" s="69">
        <f>26472162888.88</f>
        <v>26472162888.880001</v>
      </c>
      <c r="E88" s="69">
        <f>45993466487.78</f>
        <v>45993466487.779999</v>
      </c>
      <c r="F88" s="69">
        <f>1579825874.19</f>
        <v>1579825874.1900001</v>
      </c>
      <c r="G88" s="69">
        <f>11865.88</f>
        <v>11865.88</v>
      </c>
      <c r="H88" s="69">
        <f>8771.41</f>
        <v>8771.41</v>
      </c>
      <c r="I88" s="69">
        <f>0</f>
        <v>0</v>
      </c>
      <c r="J88" s="43">
        <f t="shared" si="7"/>
        <v>40.429079079008659</v>
      </c>
      <c r="K88" s="43">
        <f t="shared" si="8"/>
        <v>52.379289371597594</v>
      </c>
      <c r="N88" s="29"/>
      <c r="O88" s="54"/>
    </row>
    <row r="89" spans="2:26" ht="12.95" customHeight="1" outlineLevel="1" x14ac:dyDescent="0.2">
      <c r="B89" s="10" t="s">
        <v>43</v>
      </c>
      <c r="C89" s="76">
        <f>16339713526.79</f>
        <v>16339713526.790001</v>
      </c>
      <c r="D89" s="76">
        <f>9205719660.61001</f>
        <v>9205719660.6100101</v>
      </c>
      <c r="E89" s="76">
        <f>13120667799.23</f>
        <v>13120667799.23</v>
      </c>
      <c r="F89" s="76">
        <f>325056226.19</f>
        <v>325056226.19</v>
      </c>
      <c r="G89" s="76">
        <f>0</f>
        <v>0</v>
      </c>
      <c r="H89" s="76">
        <f>0</f>
        <v>0</v>
      </c>
      <c r="I89" s="76">
        <f>0</f>
        <v>0</v>
      </c>
      <c r="J89" s="43">
        <f t="shared" si="7"/>
        <v>14.059250454911853</v>
      </c>
      <c r="K89" s="43">
        <f t="shared" si="8"/>
        <v>56.339541360481299</v>
      </c>
      <c r="N89" s="56"/>
      <c r="O89" s="54"/>
    </row>
    <row r="90" spans="2:26" ht="12.95" customHeight="1" outlineLevel="1" x14ac:dyDescent="0.2">
      <c r="B90" s="10" t="s">
        <v>42</v>
      </c>
      <c r="C90" s="69">
        <f>3204155995.33</f>
        <v>3204155995.3299999</v>
      </c>
      <c r="D90" s="69">
        <f>1502230127.16</f>
        <v>1502230127.1600001</v>
      </c>
      <c r="E90" s="69">
        <f>2414738697.31</f>
        <v>2414738697.3099999</v>
      </c>
      <c r="F90" s="69">
        <f>76484253.1</f>
        <v>76484253.099999994</v>
      </c>
      <c r="G90" s="69">
        <f>0</f>
        <v>0</v>
      </c>
      <c r="H90" s="69">
        <f>70698.84</f>
        <v>70698.84</v>
      </c>
      <c r="I90" s="69">
        <f>0</f>
        <v>0</v>
      </c>
      <c r="J90" s="43">
        <f t="shared" si="7"/>
        <v>2.2942507894333386</v>
      </c>
      <c r="K90" s="43">
        <f t="shared" si="8"/>
        <v>46.883801205355596</v>
      </c>
      <c r="N90" s="29"/>
      <c r="O90" s="54"/>
    </row>
    <row r="91" spans="2:26" ht="22.5" customHeight="1" outlineLevel="1" x14ac:dyDescent="0.2">
      <c r="B91" s="10" t="s">
        <v>71</v>
      </c>
      <c r="C91" s="76">
        <f>106782974.84</f>
        <v>106782974.84</v>
      </c>
      <c r="D91" s="76">
        <f>9628074.52</f>
        <v>9628074.5199999996</v>
      </c>
      <c r="E91" s="76">
        <f>16193466.02</f>
        <v>16193466.02</v>
      </c>
      <c r="F91" s="76">
        <f>0</f>
        <v>0</v>
      </c>
      <c r="G91" s="76">
        <f>0</f>
        <v>0</v>
      </c>
      <c r="H91" s="76">
        <f>0</f>
        <v>0</v>
      </c>
      <c r="I91" s="76">
        <f>0</f>
        <v>0</v>
      </c>
      <c r="J91" s="43">
        <f t="shared" si="7"/>
        <v>1.4704283430923582E-2</v>
      </c>
      <c r="K91" s="43">
        <f t="shared" si="8"/>
        <v>9.0164883816229899</v>
      </c>
      <c r="N91" s="56"/>
      <c r="O91" s="54"/>
    </row>
    <row r="92" spans="2:26" ht="22.5" customHeight="1" outlineLevel="1" x14ac:dyDescent="0.2">
      <c r="B92" s="10" t="s">
        <v>72</v>
      </c>
      <c r="C92" s="76">
        <f>5886905549.73</f>
        <v>5886905549.7299995</v>
      </c>
      <c r="D92" s="76">
        <f>3442306820.89</f>
        <v>3442306820.8899999</v>
      </c>
      <c r="E92" s="76">
        <f>5010037099.01</f>
        <v>5010037099.0100002</v>
      </c>
      <c r="F92" s="76">
        <f>69686553.69</f>
        <v>69686553.689999998</v>
      </c>
      <c r="G92" s="76">
        <f>38891.36</f>
        <v>38891.360000000001</v>
      </c>
      <c r="H92" s="76">
        <f>21444.46</f>
        <v>21444.46</v>
      </c>
      <c r="I92" s="77">
        <f>0</f>
        <v>0</v>
      </c>
      <c r="J92" s="43">
        <f t="shared" si="7"/>
        <v>5.2571939535183461</v>
      </c>
      <c r="K92" s="43">
        <f t="shared" si="8"/>
        <v>58.473960416230561</v>
      </c>
      <c r="N92" s="56"/>
      <c r="O92" s="54"/>
    </row>
    <row r="93" spans="2:26" ht="12.95" customHeight="1" outlineLevel="1" x14ac:dyDescent="0.2">
      <c r="B93" s="10" t="s">
        <v>41</v>
      </c>
      <c r="C93" s="69">
        <f t="shared" ref="C93:I93" si="10">C87-C88-C89-C90-C91-C92</f>
        <v>45550037522.130005</v>
      </c>
      <c r="D93" s="69">
        <f t="shared" si="10"/>
        <v>19577465488.399986</v>
      </c>
      <c r="E93" s="69">
        <f>E87-E88-E89-E90-E91-E92</f>
        <v>35337486658.490005</v>
      </c>
      <c r="F93" s="69">
        <f t="shared" si="10"/>
        <v>1724628850.3200002</v>
      </c>
      <c r="G93" s="69">
        <f t="shared" si="10"/>
        <v>1411807.42</v>
      </c>
      <c r="H93" s="69">
        <f t="shared" si="10"/>
        <v>6352865.5299999993</v>
      </c>
      <c r="I93" s="77">
        <f t="shared" si="10"/>
        <v>0</v>
      </c>
      <c r="J93" s="43">
        <f t="shared" si="7"/>
        <v>29.899290954029524</v>
      </c>
      <c r="K93" s="43">
        <f t="shared" si="8"/>
        <v>42.980130321272469</v>
      </c>
      <c r="N93" s="29"/>
      <c r="O93" s="54"/>
    </row>
    <row r="94" spans="2:26" x14ac:dyDescent="0.2">
      <c r="B94" s="65" t="s">
        <v>13</v>
      </c>
      <c r="C94" s="75">
        <f>C5-C84</f>
        <v>-12644167987.529999</v>
      </c>
      <c r="D94" s="75">
        <f>D5-D84</f>
        <v>6260952970.3399963</v>
      </c>
      <c r="E94" s="61"/>
      <c r="F94" s="55"/>
      <c r="G94" s="55"/>
      <c r="H94" s="55"/>
      <c r="I94" s="124"/>
      <c r="J94" s="124"/>
      <c r="K94" s="37"/>
      <c r="L94" s="37"/>
      <c r="M94" s="4"/>
      <c r="N94" s="54"/>
      <c r="O94" s="55"/>
    </row>
    <row r="95" spans="2:26" ht="38.25" x14ac:dyDescent="0.2">
      <c r="B95" s="96" t="s">
        <v>109</v>
      </c>
      <c r="C95" s="75">
        <f>+C74-C87</f>
        <v>-236945684.69000244</v>
      </c>
      <c r="D95" s="75">
        <f>+D74-D87</f>
        <v>7558566748.0899963</v>
      </c>
      <c r="E95" s="61"/>
      <c r="F95" s="55"/>
      <c r="G95" s="55"/>
      <c r="H95" s="55"/>
      <c r="I95" s="55"/>
      <c r="J95" s="55"/>
      <c r="K95" s="37"/>
      <c r="L95" s="37"/>
      <c r="M95" s="4"/>
      <c r="N95" s="54"/>
      <c r="O95" s="55"/>
    </row>
    <row r="96" spans="2:26" ht="8.25" customHeight="1" x14ac:dyDescent="0.2">
      <c r="B96" s="38"/>
      <c r="C96" s="39"/>
      <c r="D96" s="39"/>
      <c r="E96" s="39"/>
      <c r="F96" s="40"/>
      <c r="G96" s="40"/>
      <c r="H96" s="40"/>
      <c r="I96" s="40"/>
      <c r="J96" s="41"/>
      <c r="K96" s="41"/>
      <c r="L96" s="42"/>
      <c r="M96" s="35"/>
    </row>
    <row r="97" spans="2:13" x14ac:dyDescent="0.2">
      <c r="B97" s="104" t="s">
        <v>111</v>
      </c>
      <c r="C97" s="57"/>
      <c r="D97" s="57"/>
      <c r="E97" s="57"/>
      <c r="F97" s="58"/>
      <c r="G97" s="58"/>
      <c r="H97" s="58"/>
      <c r="I97" s="58"/>
      <c r="J97" s="59"/>
      <c r="K97" s="59"/>
      <c r="L97" s="42"/>
      <c r="M97" s="35"/>
    </row>
    <row r="98" spans="2:13" ht="26.25" customHeight="1" x14ac:dyDescent="0.2">
      <c r="B98" s="65" t="s">
        <v>89</v>
      </c>
      <c r="C98" s="78">
        <f>2089190244.44</f>
        <v>2089190244.4400001</v>
      </c>
      <c r="D98" s="79">
        <f>499831484.14</f>
        <v>499831484.13999999</v>
      </c>
      <c r="E98" s="79">
        <f>1094242440.64</f>
        <v>1094242440.6400001</v>
      </c>
      <c r="F98" s="79">
        <f>31856484.15</f>
        <v>31856484.149999999</v>
      </c>
      <c r="G98" s="79">
        <f>0</f>
        <v>0</v>
      </c>
      <c r="H98" s="79">
        <f>0</f>
        <v>0</v>
      </c>
      <c r="I98" s="79">
        <f>0</f>
        <v>0</v>
      </c>
      <c r="J98" s="62">
        <f>IF($D$98=0,"",100*$D98/$D$98)</f>
        <v>100</v>
      </c>
      <c r="K98" s="43">
        <f>IF(C98=0,"",100*D98/C98)</f>
        <v>23.924651451451613</v>
      </c>
      <c r="L98" s="35"/>
    </row>
    <row r="99" spans="2:13" ht="15" customHeight="1" x14ac:dyDescent="0.2">
      <c r="B99" s="101" t="s">
        <v>76</v>
      </c>
      <c r="C99" s="80">
        <f>1599520160.07</f>
        <v>1599520160.0699999</v>
      </c>
      <c r="D99" s="76">
        <f>358837108.04</f>
        <v>358837108.04000002</v>
      </c>
      <c r="E99" s="76">
        <f>899911576.31</f>
        <v>899911576.30999994</v>
      </c>
      <c r="F99" s="76">
        <f>29536683.65</f>
        <v>29536683.649999999</v>
      </c>
      <c r="G99" s="76">
        <f>0</f>
        <v>0</v>
      </c>
      <c r="H99" s="76">
        <f>0</f>
        <v>0</v>
      </c>
      <c r="I99" s="76">
        <f>0</f>
        <v>0</v>
      </c>
      <c r="J99" s="62">
        <f>IF($D$98=0,"",100*$D99/$D$98)</f>
        <v>71.791617660381661</v>
      </c>
      <c r="K99" s="62">
        <f>IF(C99=0,"",100*D99/C99)</f>
        <v>22.434047222280473</v>
      </c>
      <c r="L99" s="35"/>
    </row>
    <row r="100" spans="2:13" x14ac:dyDescent="0.2">
      <c r="B100" s="102" t="s">
        <v>77</v>
      </c>
      <c r="C100" s="80">
        <f>C98-C99</f>
        <v>489670084.37000012</v>
      </c>
      <c r="D100" s="76">
        <f t="shared" ref="D100:I100" si="11">D98-D99</f>
        <v>140994376.09999996</v>
      </c>
      <c r="E100" s="76">
        <f t="shared" si="11"/>
        <v>194330864.33000016</v>
      </c>
      <c r="F100" s="76">
        <f t="shared" si="11"/>
        <v>2319800.5</v>
      </c>
      <c r="G100" s="76">
        <f t="shared" si="11"/>
        <v>0</v>
      </c>
      <c r="H100" s="76">
        <f t="shared" si="11"/>
        <v>0</v>
      </c>
      <c r="I100" s="76">
        <f t="shared" si="11"/>
        <v>0</v>
      </c>
      <c r="J100" s="62">
        <f>IF($D$98=0,"",100*$D100/$D$98)</f>
        <v>28.208382339618332</v>
      </c>
      <c r="K100" s="62">
        <f>IF(C100=0,"",100*D100/C100)</f>
        <v>28.793749220232751</v>
      </c>
    </row>
    <row r="101" spans="2:13" ht="6" customHeight="1" x14ac:dyDescent="0.2"/>
    <row r="102" spans="2:13" ht="18" x14ac:dyDescent="0.2">
      <c r="B102" s="87" t="str">
        <f>CONCATENATE("Informacja z wykonania budżetów miast na prawach powiatu za ",$D$138," ",$C$139," rok    ",$C$141,"")</f>
        <v xml:space="preserve">Informacja z wykonania budżetów miast na prawach powiatu za II Kwartały 2024 rok    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2:13" ht="6.75" customHeight="1" x14ac:dyDescent="0.2"/>
    <row r="104" spans="2:13" x14ac:dyDescent="0.2">
      <c r="B104" s="13" t="s">
        <v>14</v>
      </c>
      <c r="C104" s="51" t="s">
        <v>15</v>
      </c>
      <c r="D104" s="8" t="s">
        <v>1</v>
      </c>
      <c r="E104" s="8" t="s">
        <v>23</v>
      </c>
      <c r="F104" s="8" t="s">
        <v>24</v>
      </c>
    </row>
    <row r="105" spans="2:13" x14ac:dyDescent="0.2">
      <c r="B105" s="13"/>
      <c r="C105" s="110" t="s">
        <v>78</v>
      </c>
      <c r="D105" s="111"/>
      <c r="E105" s="114" t="s">
        <v>4</v>
      </c>
      <c r="F105" s="115"/>
    </row>
    <row r="106" spans="2:13" x14ac:dyDescent="0.2">
      <c r="B106" s="11">
        <v>1</v>
      </c>
      <c r="C106" s="14">
        <v>2</v>
      </c>
      <c r="D106" s="12">
        <v>3</v>
      </c>
      <c r="E106" s="12">
        <v>4</v>
      </c>
      <c r="F106" s="12">
        <v>5</v>
      </c>
    </row>
    <row r="107" spans="2:13" ht="25.5" x14ac:dyDescent="0.2">
      <c r="B107" s="63" t="s">
        <v>66</v>
      </c>
      <c r="C107" s="81">
        <f>16358179862.66</f>
        <v>16358179862.66</v>
      </c>
      <c r="D107" s="74">
        <f>6677187609.93</f>
        <v>6677187609.9300003</v>
      </c>
      <c r="E107" s="44">
        <f>IF($D$107=0,"",100*$D107/$D$107)</f>
        <v>100</v>
      </c>
      <c r="F107" s="36">
        <f t="shared" ref="F107:F114" si="12">IF(C107=0,"",100*D107/C107)</f>
        <v>40.818646487508566</v>
      </c>
    </row>
    <row r="108" spans="2:13" ht="22.5" x14ac:dyDescent="0.2">
      <c r="B108" s="97" t="s">
        <v>90</v>
      </c>
      <c r="C108" s="82">
        <f>12236270154.17</f>
        <v>12236270154.17</v>
      </c>
      <c r="D108" s="71">
        <f>574987666.58</f>
        <v>574987666.58000004</v>
      </c>
      <c r="E108" s="45">
        <f t="shared" ref="E108:E117" si="13">IF($D$107=0,"",100*$D108/$D$107)</f>
        <v>8.6112252668309832</v>
      </c>
      <c r="F108" s="46">
        <f t="shared" si="12"/>
        <v>4.6990435756605944</v>
      </c>
    </row>
    <row r="109" spans="2:13" ht="11.25" customHeight="1" x14ac:dyDescent="0.2">
      <c r="B109" s="99" t="s">
        <v>91</v>
      </c>
      <c r="C109" s="83">
        <f>961500000</f>
        <v>961500000</v>
      </c>
      <c r="D109" s="70">
        <f>0</f>
        <v>0</v>
      </c>
      <c r="E109" s="47">
        <f t="shared" si="13"/>
        <v>0</v>
      </c>
      <c r="F109" s="43">
        <f t="shared" si="12"/>
        <v>0</v>
      </c>
    </row>
    <row r="110" spans="2:13" ht="12.95" customHeight="1" x14ac:dyDescent="0.2">
      <c r="B110" s="98" t="s">
        <v>92</v>
      </c>
      <c r="C110" s="83">
        <f>55466142.13</f>
        <v>55466142.130000003</v>
      </c>
      <c r="D110" s="70">
        <f>19372342.92</f>
        <v>19372342.920000002</v>
      </c>
      <c r="E110" s="47">
        <f t="shared" si="13"/>
        <v>0.29012728189919901</v>
      </c>
      <c r="F110" s="43">
        <f t="shared" si="12"/>
        <v>34.926429306360703</v>
      </c>
    </row>
    <row r="111" spans="2:13" ht="45.75" customHeight="1" x14ac:dyDescent="0.2">
      <c r="B111" s="98" t="s">
        <v>101</v>
      </c>
      <c r="C111" s="83">
        <f>45010879.01</f>
        <v>45010879.009999998</v>
      </c>
      <c r="D111" s="70">
        <f>87293865.46</f>
        <v>87293865.459999993</v>
      </c>
      <c r="E111" s="47">
        <f t="shared" si="13"/>
        <v>1.3073448068192761</v>
      </c>
      <c r="F111" s="43">
        <f t="shared" si="12"/>
        <v>193.93948169864902</v>
      </c>
    </row>
    <row r="112" spans="2:13" ht="35.25" customHeight="1" x14ac:dyDescent="0.2">
      <c r="B112" s="98" t="s">
        <v>97</v>
      </c>
      <c r="C112" s="83">
        <f>865790619.79</f>
        <v>865790619.78999996</v>
      </c>
      <c r="D112" s="70">
        <f>1247345633.67</f>
        <v>1247345633.6700001</v>
      </c>
      <c r="E112" s="47">
        <f t="shared" si="13"/>
        <v>18.680703711469871</v>
      </c>
      <c r="F112" s="43">
        <f t="shared" si="12"/>
        <v>144.07012563528897</v>
      </c>
    </row>
    <row r="113" spans="2:8" ht="12.95" customHeight="1" x14ac:dyDescent="0.2">
      <c r="B113" s="98" t="s">
        <v>93</v>
      </c>
      <c r="C113" s="83">
        <f>0</f>
        <v>0</v>
      </c>
      <c r="D113" s="70">
        <f>0</f>
        <v>0</v>
      </c>
      <c r="E113" s="47">
        <f t="shared" si="13"/>
        <v>0</v>
      </c>
      <c r="F113" s="43" t="str">
        <f t="shared" si="12"/>
        <v/>
      </c>
    </row>
    <row r="114" spans="2:8" ht="35.25" customHeight="1" x14ac:dyDescent="0.2">
      <c r="B114" s="98" t="s">
        <v>96</v>
      </c>
      <c r="C114" s="83">
        <f>2970857162.81</f>
        <v>2970857162.8099999</v>
      </c>
      <c r="D114" s="70">
        <f>4144084304.63</f>
        <v>4144084304.6300001</v>
      </c>
      <c r="E114" s="47">
        <f t="shared" si="13"/>
        <v>62.063319869388003</v>
      </c>
      <c r="F114" s="43">
        <f t="shared" si="12"/>
        <v>139.49119993067245</v>
      </c>
    </row>
    <row r="115" spans="2:8" ht="56.25" x14ac:dyDescent="0.2">
      <c r="B115" s="107" t="s">
        <v>123</v>
      </c>
      <c r="C115" s="83">
        <f>0</f>
        <v>0</v>
      </c>
      <c r="D115" s="70">
        <f>241318891.92</f>
        <v>241318891.91999999</v>
      </c>
      <c r="E115" s="47">
        <f t="shared" si="13"/>
        <v>3.6140798494432276</v>
      </c>
      <c r="F115" s="43" t="str">
        <f t="shared" ref="F115:F123" si="14">IF(C115=0,"",100*D115/C115)</f>
        <v/>
      </c>
    </row>
    <row r="116" spans="2:8" x14ac:dyDescent="0.2">
      <c r="B116" s="107" t="s">
        <v>119</v>
      </c>
      <c r="C116" s="83">
        <f>184784904.75</f>
        <v>184784904.75</v>
      </c>
      <c r="D116" s="70">
        <f>362784904.75</f>
        <v>362784904.75</v>
      </c>
      <c r="E116" s="47">
        <f t="shared" si="13"/>
        <v>5.4331992141494316</v>
      </c>
      <c r="F116" s="43">
        <f t="shared" si="14"/>
        <v>196.32821481864036</v>
      </c>
    </row>
    <row r="117" spans="2:8" ht="22.5" x14ac:dyDescent="0.2">
      <c r="B117" s="108" t="s">
        <v>120</v>
      </c>
      <c r="C117" s="83">
        <f>164795971.96</f>
        <v>164795971.96000001</v>
      </c>
      <c r="D117" s="70">
        <f>137795971.96</f>
        <v>137795971.96000001</v>
      </c>
      <c r="E117" s="47">
        <f t="shared" si="13"/>
        <v>2.0636827959585302</v>
      </c>
      <c r="F117" s="43">
        <f t="shared" si="14"/>
        <v>83.616104399351727</v>
      </c>
    </row>
    <row r="118" spans="2:8" ht="25.5" x14ac:dyDescent="0.2">
      <c r="B118" s="66" t="s">
        <v>67</v>
      </c>
      <c r="C118" s="84">
        <f>3714011875.13</f>
        <v>3714011875.1300001</v>
      </c>
      <c r="D118" s="74">
        <f>1729444191.8</f>
        <v>1729444191.8</v>
      </c>
      <c r="E118" s="48">
        <f t="shared" ref="E118:E123" si="15">IF($D$118=0,"",100*$D118/$D$118)</f>
        <v>100</v>
      </c>
      <c r="F118" s="36">
        <f t="shared" si="14"/>
        <v>46.565392086676212</v>
      </c>
    </row>
    <row r="119" spans="2:8" ht="22.5" x14ac:dyDescent="0.2">
      <c r="B119" s="98" t="s">
        <v>94</v>
      </c>
      <c r="C119" s="83">
        <f>3629724974.66</f>
        <v>3629724974.6599998</v>
      </c>
      <c r="D119" s="70">
        <f>1555128697.74</f>
        <v>1555128697.74</v>
      </c>
      <c r="E119" s="47">
        <f t="shared" si="15"/>
        <v>89.920721646497711</v>
      </c>
      <c r="F119" s="43">
        <f t="shared" si="14"/>
        <v>42.84425703315636</v>
      </c>
    </row>
    <row r="120" spans="2:8" ht="12.95" customHeight="1" x14ac:dyDescent="0.2">
      <c r="B120" s="99" t="s">
        <v>95</v>
      </c>
      <c r="C120" s="83">
        <f>333345000</f>
        <v>333345000</v>
      </c>
      <c r="D120" s="70">
        <f>190000000</f>
        <v>190000000</v>
      </c>
      <c r="E120" s="47">
        <f t="shared" si="15"/>
        <v>10.98618856282657</v>
      </c>
      <c r="F120" s="43">
        <f t="shared" si="14"/>
        <v>56.998005069822554</v>
      </c>
    </row>
    <row r="121" spans="2:8" ht="12.95" customHeight="1" x14ac:dyDescent="0.2">
      <c r="B121" s="98" t="s">
        <v>110</v>
      </c>
      <c r="C121" s="83">
        <f>66349807</f>
        <v>66349807</v>
      </c>
      <c r="D121" s="70">
        <f>29315494.06</f>
        <v>29315494.059999999</v>
      </c>
      <c r="E121" s="47">
        <f t="shared" si="15"/>
        <v>1.6950818187135908</v>
      </c>
      <c r="F121" s="43">
        <f t="shared" si="14"/>
        <v>44.183239387568982</v>
      </c>
    </row>
    <row r="122" spans="2:8" ht="12.95" customHeight="1" x14ac:dyDescent="0.2">
      <c r="B122" s="98" t="s">
        <v>121</v>
      </c>
      <c r="C122" s="83">
        <f>17937093.47</f>
        <v>17937093.469999999</v>
      </c>
      <c r="D122" s="70">
        <f>145000000</f>
        <v>145000000</v>
      </c>
      <c r="E122" s="47">
        <f t="shared" si="15"/>
        <v>8.384196534788698</v>
      </c>
      <c r="F122" s="43">
        <f t="shared" si="14"/>
        <v>808.38069023007665</v>
      </c>
    </row>
    <row r="123" spans="2:8" ht="22.5" x14ac:dyDescent="0.2">
      <c r="B123" s="108" t="s">
        <v>122</v>
      </c>
      <c r="C123" s="83">
        <f>2559660.68</f>
        <v>2559660.6800000002</v>
      </c>
      <c r="D123" s="70">
        <f>0</f>
        <v>0</v>
      </c>
      <c r="E123" s="47">
        <f t="shared" si="15"/>
        <v>0</v>
      </c>
      <c r="F123" s="43">
        <f t="shared" si="14"/>
        <v>0</v>
      </c>
    </row>
    <row r="124" spans="2:8" x14ac:dyDescent="0.2">
      <c r="B124" s="26"/>
      <c r="C124" s="26"/>
      <c r="D124" s="26"/>
      <c r="E124" s="26"/>
      <c r="F124" s="26"/>
      <c r="G124" s="26"/>
      <c r="H124" s="26"/>
    </row>
    <row r="125" spans="2:8" x14ac:dyDescent="0.2">
      <c r="B125" s="13" t="s">
        <v>14</v>
      </c>
      <c r="C125" s="11" t="s">
        <v>15</v>
      </c>
      <c r="D125" s="11" t="s">
        <v>1</v>
      </c>
      <c r="E125" s="60"/>
    </row>
    <row r="126" spans="2:8" x14ac:dyDescent="0.2">
      <c r="B126" s="13"/>
      <c r="C126" s="112" t="s">
        <v>78</v>
      </c>
      <c r="D126" s="113"/>
      <c r="E126" s="60"/>
    </row>
    <row r="127" spans="2:8" x14ac:dyDescent="0.2">
      <c r="B127" s="11">
        <v>1</v>
      </c>
      <c r="C127" s="11">
        <v>2</v>
      </c>
      <c r="D127" s="11">
        <v>3</v>
      </c>
      <c r="E127" s="60"/>
    </row>
    <row r="128" spans="2:8" ht="36" customHeight="1" x14ac:dyDescent="0.2">
      <c r="B128" s="64" t="s">
        <v>124</v>
      </c>
      <c r="C128" s="83">
        <f>12652682639.53</f>
        <v>12652682639.530001</v>
      </c>
      <c r="D128" s="70">
        <f>0</f>
        <v>0</v>
      </c>
      <c r="E128" s="60"/>
    </row>
    <row r="129" spans="2:8" ht="33.75" x14ac:dyDescent="0.2">
      <c r="B129" s="103" t="s">
        <v>80</v>
      </c>
      <c r="C129" s="83">
        <f>557527954.2</f>
        <v>557527954.20000005</v>
      </c>
      <c r="D129" s="70">
        <f>0</f>
        <v>0</v>
      </c>
      <c r="E129" s="60"/>
    </row>
    <row r="130" spans="2:8" ht="12.95" customHeight="1" x14ac:dyDescent="0.2">
      <c r="B130" s="103" t="s">
        <v>81</v>
      </c>
      <c r="C130" s="83">
        <f>8806426551.55</f>
        <v>8806426551.5499992</v>
      </c>
      <c r="D130" s="70">
        <f>0</f>
        <v>0</v>
      </c>
      <c r="E130" s="60"/>
    </row>
    <row r="131" spans="2:8" ht="22.5" x14ac:dyDescent="0.2">
      <c r="B131" s="103" t="s">
        <v>82</v>
      </c>
      <c r="C131" s="83">
        <f>0</f>
        <v>0</v>
      </c>
      <c r="D131" s="70">
        <f>0</f>
        <v>0</v>
      </c>
      <c r="E131" s="60"/>
    </row>
    <row r="132" spans="2:8" ht="58.5" customHeight="1" x14ac:dyDescent="0.2">
      <c r="B132" s="103" t="s">
        <v>104</v>
      </c>
      <c r="C132" s="83">
        <f>45010879.01</f>
        <v>45010879.009999998</v>
      </c>
      <c r="D132" s="70">
        <f>0</f>
        <v>0</v>
      </c>
      <c r="E132" s="60"/>
    </row>
    <row r="133" spans="2:8" ht="78.75" x14ac:dyDescent="0.2">
      <c r="B133" s="103" t="s">
        <v>83</v>
      </c>
      <c r="C133" s="83">
        <f>2238007214.98</f>
        <v>2238007214.98</v>
      </c>
      <c r="D133" s="70">
        <f>0</f>
        <v>0</v>
      </c>
      <c r="E133" s="60"/>
    </row>
    <row r="134" spans="2:8" ht="147" customHeight="1" x14ac:dyDescent="0.2">
      <c r="B134" s="103" t="s">
        <v>102</v>
      </c>
      <c r="C134" s="83">
        <f>831545097.83</f>
        <v>831545097.83000004</v>
      </c>
      <c r="D134" s="70">
        <f>0</f>
        <v>0</v>
      </c>
      <c r="E134" s="35"/>
    </row>
    <row r="135" spans="2:8" ht="22.5" x14ac:dyDescent="0.2">
      <c r="B135" s="103" t="s">
        <v>103</v>
      </c>
      <c r="C135" s="83">
        <f>18251033</f>
        <v>18251033</v>
      </c>
      <c r="D135" s="70">
        <f>0</f>
        <v>0</v>
      </c>
      <c r="E135" s="35"/>
    </row>
    <row r="136" spans="2:8" ht="22.5" x14ac:dyDescent="0.2">
      <c r="B136" s="109" t="s">
        <v>120</v>
      </c>
      <c r="C136" s="83">
        <f>155913908.96</f>
        <v>155913908.96000001</v>
      </c>
      <c r="D136" s="70">
        <f>0</f>
        <v>0</v>
      </c>
      <c r="E136" s="35"/>
    </row>
    <row r="137" spans="2:8" x14ac:dyDescent="0.2">
      <c r="B137" s="49"/>
      <c r="C137" s="41"/>
      <c r="D137" s="41"/>
      <c r="E137" s="41"/>
      <c r="F137" s="41"/>
      <c r="G137" s="41"/>
      <c r="H137" s="41"/>
    </row>
    <row r="138" spans="2:8" ht="12" customHeight="1" x14ac:dyDescent="0.2">
      <c r="B138" s="50" t="s">
        <v>68</v>
      </c>
      <c r="C138" s="50">
        <f>2</f>
        <v>2</v>
      </c>
      <c r="D138" s="50" t="str">
        <f>IF(C138=1,"I Kwartał",IF(C138=2,"II Kwartały",IF(C138=3,"III Kwartały",IF(C138=4,"IV Kwartały",IF(C138="M1","Styczeń",IF(C138="M11","Listopad",IF(C138="M12","Grudzień","-")))))))</f>
        <v>II Kwartały</v>
      </c>
    </row>
    <row r="139" spans="2:8" x14ac:dyDescent="0.2">
      <c r="B139" s="50" t="s">
        <v>69</v>
      </c>
      <c r="C139" s="85">
        <f>2024</f>
        <v>2024</v>
      </c>
      <c r="D139" s="49"/>
    </row>
    <row r="140" spans="2:8" x14ac:dyDescent="0.2">
      <c r="B140" s="50" t="s">
        <v>70</v>
      </c>
      <c r="C140" s="117" t="str">
        <f>"Aug 14 2024 12:00AM"</f>
        <v>Aug 14 2024 12:00AM</v>
      </c>
      <c r="D140" s="118"/>
    </row>
    <row r="141" spans="2:8" hidden="1" x14ac:dyDescent="0.2">
      <c r="B141" s="50" t="s">
        <v>73</v>
      </c>
      <c r="C141" s="86" t="str">
        <f>""</f>
        <v/>
      </c>
      <c r="D141" s="49"/>
    </row>
  </sheetData>
  <mergeCells count="20">
    <mergeCell ref="E79:E81"/>
    <mergeCell ref="B2:B3"/>
    <mergeCell ref="C79:C81"/>
    <mergeCell ref="B79:B82"/>
    <mergeCell ref="J79:J81"/>
    <mergeCell ref="K79:K81"/>
    <mergeCell ref="F80:F81"/>
    <mergeCell ref="F79:H79"/>
    <mergeCell ref="I79:I81"/>
    <mergeCell ref="C82:I82"/>
    <mergeCell ref="C105:D105"/>
    <mergeCell ref="C126:D126"/>
    <mergeCell ref="E105:F105"/>
    <mergeCell ref="J82:K82"/>
    <mergeCell ref="C140:D140"/>
    <mergeCell ref="J3:L3"/>
    <mergeCell ref="C3:I3"/>
    <mergeCell ref="G80:H80"/>
    <mergeCell ref="I94:J94"/>
    <mergeCell ref="D79:D81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6" max="16383" man="1"/>
    <brk id="101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2024-08-26T09:34:10Z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