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Xw9wYM9JLmuskIOmk6lyINOYIsjs6nX82CLguly+gBNFJUS2t3nz9qyD0cd03nNhGhLbT/hQrX3T2mU5AoVdCg==" workbookSaltValue="4LYDmbve4uv83kyzF3wxmQ==" workbookSpinCount="100000" lockStructure="1"/>
  <bookViews>
    <workbookView xWindow="-108" yWindow="-108" windowWidth="23256" windowHeight="12456" activeTab="1"/>
  </bookViews>
  <sheets>
    <sheet name="INSTRUKCJA" sheetId="19" r:id="rId1"/>
    <sheet name="Podstawa wymiaru 10 lat SC_SCS" sheetId="17" r:id="rId2"/>
    <sheet name="art. 15d lub 15e SCS" sheetId="1" r:id="rId3"/>
    <sheet name="art. 15aa SCS" sheetId="15" r:id="rId4"/>
    <sheet name="art. 18e SCS" sheetId="16" r:id="rId5"/>
    <sheet name="Roboczy" sheetId="2" state="hidden" r:id="rId6"/>
  </sheets>
  <definedNames>
    <definedName name="_xlnm.Print_Area" localSheetId="3">'art. 15aa SCS'!$G$1:$K$25</definedName>
    <definedName name="_xlnm.Print_Area" localSheetId="2">'art. 15d lub 15e SCS'!$G$1:$K$26</definedName>
    <definedName name="_xlnm.Print_Area" localSheetId="4">'art. 18e SCS'!$G$1:$K$42</definedName>
    <definedName name="_xlnm.Print_Area" localSheetId="1">'Podstawa wymiaru 10 lat SC_SCS'!$A$1:$J$54</definedName>
    <definedName name="RocznyCS">!$E$5:$E$28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" i="16" l="1"/>
  <c r="H4" i="15"/>
  <c r="H4" i="1"/>
  <c r="K12" i="16"/>
  <c r="K12" i="15"/>
  <c r="K13" i="1"/>
  <c r="E45" i="15" l="1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59" i="1"/>
  <c r="E58" i="1"/>
  <c r="E57" i="1"/>
  <c r="E56" i="1"/>
  <c r="E55" i="1"/>
  <c r="E54" i="1"/>
  <c r="E53" i="1"/>
  <c r="E52" i="1"/>
  <c r="E51" i="1"/>
  <c r="D59" i="1"/>
  <c r="D58" i="1"/>
  <c r="D57" i="1"/>
  <c r="D56" i="1"/>
  <c r="D55" i="1"/>
  <c r="D54" i="1"/>
  <c r="D53" i="1"/>
  <c r="D52" i="1"/>
  <c r="D51" i="1"/>
  <c r="C59" i="1"/>
  <c r="C58" i="1"/>
  <c r="C57" i="1"/>
  <c r="C56" i="1"/>
  <c r="C55" i="1"/>
  <c r="C54" i="1"/>
  <c r="C53" i="1"/>
  <c r="C52" i="1"/>
  <c r="C51" i="1"/>
  <c r="C50" i="1"/>
  <c r="E50" i="1"/>
  <c r="E49" i="1"/>
  <c r="D50" i="1"/>
  <c r="D49" i="1"/>
  <c r="C49" i="1"/>
  <c r="D28" i="17" l="1"/>
  <c r="D27" i="17"/>
  <c r="D26" i="17"/>
  <c r="D25" i="17"/>
  <c r="D24" i="17"/>
  <c r="D23" i="17"/>
  <c r="D22" i="17"/>
  <c r="E22" i="17" s="1"/>
  <c r="D21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D8" i="17"/>
  <c r="D7" i="17"/>
  <c r="D6" i="17"/>
  <c r="D5" i="17"/>
  <c r="K3" i="1" l="1"/>
  <c r="L8" i="1" l="1"/>
  <c r="L9" i="1"/>
  <c r="E28" i="17"/>
  <c r="E27" i="17"/>
  <c r="E26" i="17"/>
  <c r="E14" i="17"/>
  <c r="E13" i="17"/>
  <c r="E12" i="17"/>
  <c r="E11" i="17"/>
  <c r="E10" i="17"/>
  <c r="E9" i="17"/>
  <c r="E8" i="17"/>
  <c r="E7" i="17"/>
  <c r="E6" i="17"/>
  <c r="E5" i="17"/>
  <c r="E15" i="17"/>
  <c r="E25" i="17"/>
  <c r="E24" i="17"/>
  <c r="E21" i="17"/>
  <c r="E20" i="17"/>
  <c r="E19" i="17"/>
  <c r="E18" i="17"/>
  <c r="E17" i="17"/>
  <c r="E16" i="17"/>
  <c r="G22" i="17" l="1"/>
  <c r="E16" i="16"/>
  <c r="D16" i="16"/>
  <c r="C16" i="16"/>
  <c r="E15" i="16"/>
  <c r="D15" i="16"/>
  <c r="C15" i="16"/>
  <c r="E14" i="16"/>
  <c r="D14" i="16"/>
  <c r="C14" i="16"/>
  <c r="E56" i="15"/>
  <c r="D56" i="15"/>
  <c r="G20" i="17" l="1"/>
  <c r="G19" i="17"/>
  <c r="G26" i="17"/>
  <c r="G18" i="17"/>
  <c r="G25" i="17"/>
  <c r="G24" i="17"/>
  <c r="G17" i="17"/>
  <c r="G23" i="17"/>
  <c r="G21" i="17"/>
  <c r="K3" i="15"/>
  <c r="K3" i="16"/>
  <c r="G27" i="17" l="1"/>
  <c r="G28" i="17" s="1"/>
  <c r="E29" i="15" l="1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44" i="1"/>
  <c r="D44" i="1"/>
  <c r="C44" i="1"/>
  <c r="E43" i="1"/>
  <c r="D43" i="1"/>
  <c r="C43" i="1"/>
  <c r="E42" i="1"/>
  <c r="D42" i="1"/>
  <c r="C42" i="1"/>
  <c r="E41" i="1"/>
  <c r="D41" i="1"/>
  <c r="C41" i="1"/>
  <c r="E40" i="1"/>
  <c r="D40" i="1"/>
  <c r="C40" i="1"/>
  <c r="E39" i="1"/>
  <c r="D39" i="1"/>
  <c r="C39" i="1"/>
  <c r="E38" i="1"/>
  <c r="D38" i="1"/>
  <c r="C38" i="1"/>
  <c r="E37" i="1"/>
  <c r="D37" i="1"/>
  <c r="C37" i="1"/>
  <c r="E36" i="1"/>
  <c r="D36" i="1"/>
  <c r="C36" i="1"/>
  <c r="E35" i="1"/>
  <c r="D35" i="1"/>
  <c r="C35" i="1"/>
  <c r="E34" i="1"/>
  <c r="D34" i="1"/>
  <c r="C34" i="1"/>
  <c r="E29" i="1"/>
  <c r="D29" i="1"/>
  <c r="C29" i="1"/>
  <c r="E28" i="1"/>
  <c r="D28" i="1"/>
  <c r="C28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2" i="1"/>
  <c r="D22" i="1"/>
  <c r="C22" i="1"/>
  <c r="E21" i="1"/>
  <c r="D21" i="1"/>
  <c r="C21" i="1"/>
  <c r="E20" i="1"/>
  <c r="D20" i="1"/>
  <c r="C20" i="1"/>
  <c r="E19" i="1"/>
  <c r="D19" i="1"/>
  <c r="C19" i="1"/>
  <c r="E14" i="1"/>
  <c r="D14" i="1"/>
  <c r="C14" i="1"/>
  <c r="E13" i="1"/>
  <c r="D13" i="1"/>
  <c r="C13" i="1"/>
  <c r="E12" i="1"/>
  <c r="D12" i="1"/>
  <c r="C12" i="1"/>
  <c r="E11" i="1"/>
  <c r="D11" i="1"/>
  <c r="C11" i="1"/>
  <c r="E10" i="1"/>
  <c r="D10" i="1"/>
  <c r="C10" i="1"/>
  <c r="E9" i="1"/>
  <c r="D9" i="1"/>
  <c r="C9" i="1"/>
  <c r="E8" i="1"/>
  <c r="D8" i="1"/>
  <c r="C8" i="1"/>
  <c r="E7" i="1"/>
  <c r="D7" i="1"/>
  <c r="C7" i="1"/>
  <c r="E6" i="1"/>
  <c r="D6" i="1"/>
  <c r="C6" i="1"/>
  <c r="E5" i="1"/>
  <c r="D5" i="1"/>
  <c r="C5" i="1"/>
  <c r="E4" i="1"/>
  <c r="D4" i="1"/>
  <c r="C4" i="1"/>
  <c r="C17" i="16" l="1"/>
  <c r="C15" i="15"/>
  <c r="C46" i="15"/>
  <c r="D15" i="15"/>
  <c r="D51" i="15" s="1"/>
  <c r="E15" i="15"/>
  <c r="E51" i="15" s="1"/>
  <c r="D30" i="15"/>
  <c r="I8" i="15" s="1"/>
  <c r="C30" i="15"/>
  <c r="H8" i="15" s="1"/>
  <c r="D46" i="15"/>
  <c r="E30" i="15"/>
  <c r="J8" i="15" s="1"/>
  <c r="E46" i="15"/>
  <c r="E47" i="15" s="1"/>
  <c r="D36" i="16"/>
  <c r="D17" i="16"/>
  <c r="E36" i="16"/>
  <c r="E17" i="16"/>
  <c r="C36" i="16"/>
  <c r="D15" i="1"/>
  <c r="E15" i="1"/>
  <c r="C15" i="1"/>
  <c r="C69" i="1" s="1"/>
  <c r="E60" i="1"/>
  <c r="C60" i="1"/>
  <c r="C70" i="1" s="1"/>
  <c r="D60" i="1"/>
  <c r="D70" i="1" s="1"/>
  <c r="E45" i="1"/>
  <c r="J9" i="1" s="1"/>
  <c r="C45" i="1"/>
  <c r="H9" i="1" s="1"/>
  <c r="D45" i="1"/>
  <c r="I9" i="1" s="1"/>
  <c r="E30" i="1"/>
  <c r="J8" i="1" s="1"/>
  <c r="C30" i="1"/>
  <c r="D30" i="1"/>
  <c r="I8" i="1" s="1"/>
  <c r="D47" i="15" l="1"/>
  <c r="D57" i="15" s="1"/>
  <c r="D58" i="15" s="1"/>
  <c r="C56" i="15"/>
  <c r="C51" i="15"/>
  <c r="E57" i="15"/>
  <c r="E58" i="15" s="1"/>
  <c r="E52" i="15"/>
  <c r="E53" i="15" s="1"/>
  <c r="J7" i="15" s="1"/>
  <c r="E61" i="1"/>
  <c r="E65" i="1" s="1"/>
  <c r="E70" i="1"/>
  <c r="D64" i="1"/>
  <c r="D69" i="1"/>
  <c r="E64" i="1"/>
  <c r="E69" i="1"/>
  <c r="C64" i="1"/>
  <c r="C47" i="15"/>
  <c r="J7" i="16"/>
  <c r="I7" i="16"/>
  <c r="H7" i="16"/>
  <c r="K7" i="16" s="1"/>
  <c r="H8" i="1"/>
  <c r="K9" i="1"/>
  <c r="D61" i="1"/>
  <c r="D65" i="1" s="1"/>
  <c r="C61" i="1"/>
  <c r="C65" i="1" s="1"/>
  <c r="D52" i="15" l="1"/>
  <c r="D53" i="15" s="1"/>
  <c r="I7" i="15" s="1"/>
  <c r="K8" i="16"/>
  <c r="K15" i="16" s="1"/>
  <c r="E71" i="1"/>
  <c r="D66" i="1"/>
  <c r="I7" i="1" s="1"/>
  <c r="C57" i="15"/>
  <c r="C58" i="15" s="1"/>
  <c r="C52" i="15"/>
  <c r="E66" i="1"/>
  <c r="J7" i="1" s="1"/>
  <c r="L7" i="1" s="1"/>
  <c r="C66" i="1"/>
  <c r="H7" i="1" s="1"/>
  <c r="D71" i="1"/>
  <c r="C71" i="1"/>
  <c r="K8" i="1"/>
  <c r="C53" i="15" l="1"/>
  <c r="H7" i="15" s="1"/>
  <c r="P8" i="15" s="1"/>
  <c r="K7" i="1"/>
  <c r="K10" i="1" s="1"/>
  <c r="K16" i="1" s="1"/>
  <c r="K8" i="15" l="1"/>
  <c r="K7" i="15"/>
  <c r="K9" i="15" l="1"/>
  <c r="K15" i="15" s="1"/>
  <c r="E29" i="17" a="1"/>
  <c r="E29" i="17" l="1"/>
  <c r="E30" i="17" s="1"/>
  <c r="E34" i="17" l="1"/>
  <c r="D44" i="17" s="1"/>
  <c r="K13" i="16" l="1"/>
  <c r="K13" i="15"/>
  <c r="D45" i="17"/>
  <c r="K14" i="1"/>
  <c r="K15" i="1" l="1"/>
  <c r="K17" i="1" s="1"/>
  <c r="K19" i="1" s="1"/>
  <c r="K14" i="16"/>
  <c r="K16" i="16" s="1"/>
  <c r="K14" i="15"/>
  <c r="K16" i="15" s="1"/>
  <c r="K18" i="15" s="1"/>
  <c r="K18" i="1" l="1"/>
  <c r="K20" i="1" s="1"/>
  <c r="K17" i="15"/>
  <c r="K19" i="15" s="1"/>
  <c r="K17" i="16"/>
  <c r="K18" i="16"/>
  <c r="K19" i="16" l="1"/>
</calcChain>
</file>

<file path=xl/comments1.xml><?xml version="1.0" encoding="utf-8"?>
<comments xmlns="http://schemas.openxmlformats.org/spreadsheetml/2006/main">
  <authors>
    <author>Teresa Kozoń-Konter</author>
  </authors>
  <commentList>
    <comment ref="G7" authorId="0">
      <text>
        <r>
          <rPr>
            <sz val="9"/>
            <color indexed="81"/>
            <rFont val="Tahoma"/>
            <family val="2"/>
            <charset val="238"/>
          </rPr>
          <t>Suma okresów służby i równorzędnych (TAB. A.) oraz okresów w SG liczonych w wymiarze półtorakrotnym (TAB. G.)</t>
        </r>
      </text>
    </comment>
  </commentList>
</comments>
</file>

<file path=xl/comments2.xml><?xml version="1.0" encoding="utf-8"?>
<comments xmlns="http://schemas.openxmlformats.org/spreadsheetml/2006/main">
  <authors>
    <author>Teresa Kozoń-Konter</author>
  </authors>
  <commentList>
    <comment ref="G7" authorId="0">
      <text>
        <r>
          <rPr>
            <sz val="9"/>
            <color indexed="81"/>
            <rFont val="Tahoma"/>
            <family val="2"/>
            <charset val="238"/>
          </rPr>
          <t>Suma okresów służby i równorzędnych (TAB. A.) i okresów służby w SG w wymiarze półtorakrotnym (TAB. D.)</t>
        </r>
      </text>
    </comment>
  </commentList>
</comments>
</file>

<file path=xl/sharedStrings.xml><?xml version="1.0" encoding="utf-8"?>
<sst xmlns="http://schemas.openxmlformats.org/spreadsheetml/2006/main" count="277" uniqueCount="117">
  <si>
    <t>Służba</t>
  </si>
  <si>
    <t xml:space="preserve">Policja </t>
  </si>
  <si>
    <t>ABW</t>
  </si>
  <si>
    <t>AW</t>
  </si>
  <si>
    <t>BOR</t>
  </si>
  <si>
    <t>CBA</t>
  </si>
  <si>
    <t>SG</t>
  </si>
  <si>
    <t>PSP</t>
  </si>
  <si>
    <t>Zawodowa służba wojskowa</t>
  </si>
  <si>
    <t>SKW</t>
  </si>
  <si>
    <t>SWW</t>
  </si>
  <si>
    <t>SCS</t>
  </si>
  <si>
    <t>SW</t>
  </si>
  <si>
    <t>SOP</t>
  </si>
  <si>
    <t>Data</t>
  </si>
  <si>
    <t xml:space="preserve">Lata </t>
  </si>
  <si>
    <t>Miesiące</t>
  </si>
  <si>
    <t>Dni</t>
  </si>
  <si>
    <t>SC</t>
  </si>
  <si>
    <t>Długość okresów składkowych przed służbą</t>
  </si>
  <si>
    <t>Długość okresów nieskładkowych przed służbą</t>
  </si>
  <si>
    <t>TAK</t>
  </si>
  <si>
    <t>NIE</t>
  </si>
  <si>
    <t>Wskaźnik roczny</t>
  </si>
  <si>
    <t>Procentowy  wskaźnik emerytury z tytułu wysługi (%)</t>
  </si>
  <si>
    <t>Data wstąpienia po raz pierwszy do służby (zawodowej)</t>
  </si>
  <si>
    <t>Lata</t>
  </si>
  <si>
    <t>Łączny % wymiar &lt;=75%</t>
  </si>
  <si>
    <t xml:space="preserve">% wymiar </t>
  </si>
  <si>
    <t>M-ce</t>
  </si>
  <si>
    <t>SUMA:</t>
  </si>
  <si>
    <t>Okresy służby i równorzędne ze służbą</t>
  </si>
  <si>
    <t>Data od</t>
  </si>
  <si>
    <t>Data do</t>
  </si>
  <si>
    <t>SUMA (1:1)</t>
  </si>
  <si>
    <t>SUMA (LATA x 1,5)</t>
  </si>
  <si>
    <t>ARTYKUŁ</t>
  </si>
  <si>
    <t>Okresy służby po 0,5% za rozpoczęty miesiąc</t>
  </si>
  <si>
    <t xml:space="preserve">Długość okresów służby i okresów równorzędnych ze służbą </t>
  </si>
  <si>
    <t>Przyjęci do służby po raz pierwszy po 1.01.1999 r. i przed 1.10.2003 r.</t>
  </si>
  <si>
    <t>Przyjęci do służby po raz pierwszy przed 1.01.2013 r.</t>
  </si>
  <si>
    <t>Przyjęci do służby po raz pierwszy po 31.12.2012 r.</t>
  </si>
  <si>
    <t>Długość okresów składkowych przed służbą po 1,3%</t>
  </si>
  <si>
    <t>składkowe</t>
  </si>
  <si>
    <t>nieskładkowe</t>
  </si>
  <si>
    <t>służba (1 x 1)</t>
  </si>
  <si>
    <t>służba SG( 1x 1,5)</t>
  </si>
  <si>
    <t>służba_ SG( 1x 1,5)</t>
  </si>
  <si>
    <t>służba_(1 x 1)</t>
  </si>
  <si>
    <t>NS</t>
  </si>
  <si>
    <t>SK</t>
  </si>
  <si>
    <t>SŁ</t>
  </si>
  <si>
    <t>SŁ2</t>
  </si>
  <si>
    <t>Rodzaje wysługi (bez podwyższenia z art.15 ust. 2-3b)</t>
  </si>
  <si>
    <t>dzw</t>
  </si>
  <si>
    <t>UOP</t>
  </si>
  <si>
    <t>A. Okresy służby i równorzędne ze służbą (1 x 1)</t>
  </si>
  <si>
    <t>B. Okresy składkowe</t>
  </si>
  <si>
    <t>C. Okresy nieskładkowe</t>
  </si>
  <si>
    <t>Służba i równorzędne - do wysokości</t>
  </si>
  <si>
    <t>(Tab. A.)  SUMA [służba i równorzędne(1 x 1)]</t>
  </si>
  <si>
    <t>ŁĄCZNIE (TAB. A+TAB. D) SŁUŻBA 
i RÓWNORZĘDNE - DO WYSOKOŚCI</t>
  </si>
  <si>
    <t>(Tab. A.)  SUMA [służba i równorzędne (1 x 1)]</t>
  </si>
  <si>
    <t>1.03-31.12.2017</t>
  </si>
  <si>
    <t>1.01-28.02.2017</t>
  </si>
  <si>
    <t>Wskaźnik okresu</t>
  </si>
  <si>
    <t xml:space="preserve"> 10 najwyższych wskaźników rocznych</t>
  </si>
  <si>
    <t>art. 18e ustawy SC lub SCS</t>
  </si>
  <si>
    <t>art. 15aa (wymagane 25 lat służby liczonej z okresami równorzędnymi ze służbą)</t>
  </si>
  <si>
    <t>(TAB. D.) SUMA półtorakrotne (LATA x 1,5)</t>
  </si>
  <si>
    <t>(TAB. D.) SUMA [w wymiarze pojedynczym 
 (1 x 1)]</t>
  </si>
  <si>
    <t>Składka na ubezpieczenie zdrowotne (9%)</t>
  </si>
  <si>
    <t>Zaliczka na podatek dochodowy</t>
  </si>
  <si>
    <t>obowiązkowo wypełniamy poniższe pola jasne</t>
  </si>
  <si>
    <t xml:space="preserve">
- Data wstąpienia po raz pierwszy do służby</t>
  </si>
  <si>
    <t>sprawdzenie</t>
  </si>
  <si>
    <t>Ważne
Przedstawione powyżej obliczenia mają charakter poglądowy i nie mogą stanowić podstawy roszczeń wobec Zakładu Emerytalno-Rentowego Ministerstwa Spraw Wewnętrznych i Administracji</t>
  </si>
  <si>
    <r>
      <t xml:space="preserve">D. Okresy służby w SG półtorakrotne (1 rok x  1,5 roku) 
</t>
    </r>
    <r>
      <rPr>
        <b/>
        <sz val="11"/>
        <color rgb="FFC00000"/>
        <rFont val="Calibri"/>
        <family val="2"/>
        <charset val="238"/>
        <scheme val="minor"/>
      </rPr>
      <t>gdzie "Data do" &lt;= 31.12.2012</t>
    </r>
  </si>
  <si>
    <t xml:space="preserve"> Służba i równorzędne do prawa w wymiarze 1 x 1</t>
  </si>
  <si>
    <t>ŁĄCZNIE (TAB. A+TAB.D ) SŁUŻBA 
 i RÓWNORZĘDNE - DO PRAWA 
w wymiarze pojedynczym (1 x 1)</t>
  </si>
  <si>
    <r>
      <t xml:space="preserve">D. Okresy służby w SG półtorakrotne (1 rok  x  1,5 roku) 
</t>
    </r>
    <r>
      <rPr>
        <b/>
        <sz val="11"/>
        <color rgb="FFC00000"/>
        <rFont val="Calibri"/>
        <family val="2"/>
        <charset val="238"/>
        <scheme val="minor"/>
      </rPr>
      <t>gdzie "Data do" &lt;= 31.12.2012</t>
    </r>
  </si>
  <si>
    <t xml:space="preserve"> Służba i równorzędne do prawa w wymiarze (1 x 1)</t>
  </si>
  <si>
    <t>wypełniamy poniższe pola jasne - w formacie daty</t>
  </si>
  <si>
    <t>Rodzaje wysługi (bez podwyższenia z art. 18e ust. 2)</t>
  </si>
  <si>
    <t xml:space="preserve">A. Obliczanie wskaźnika wysokości podstawy wymiaru z 10 kolejnych najkorzystniejszych 
lat dla SC  lub SCS </t>
  </si>
  <si>
    <t>TABELA B.</t>
  </si>
  <si>
    <t>W TABELI A. w Koumnie 2 wypełniamy pola jasne - Roczne uposażenie funkcjonariusza</t>
  </si>
  <si>
    <t>TABELA C.</t>
  </si>
  <si>
    <t>Przeciętne miesięczne uposażenie 
dla SC i SCS</t>
  </si>
  <si>
    <t>ŁĄCZNIE (TAB. A. + TAB. D.) SŁUŻBA 
i RÓWNORZĘDNE - DO WYSOKOŚCI</t>
  </si>
  <si>
    <t>ŁĄCZNIE (TAB. A.+ TAB.D. ) SŁUŻBA 
 i RÓWNORZĘDNE - DO PRAWA 
w wymiarze pojedynczym (1 x 1)</t>
  </si>
  <si>
    <t>(TAB. A.)  SUMA [służba i równorzędne(1 x 1)]</t>
  </si>
  <si>
    <t>(TAB. A.)  SUMA [służba i równorzędne (1 x 1)]</t>
  </si>
  <si>
    <t>art 15aa</t>
  </si>
  <si>
    <t>Przeciętne roczne uposażenie w
SC i SCS</t>
  </si>
  <si>
    <t>Wskaźnik wysokości podstawy wymiaru WWPW - pobierany z zakładki "Podstawa wymiaru  10 lat SC_SCS"</t>
  </si>
  <si>
    <t>Wskaźnik wysokości podstawy wymiaru WWPW - pobierany z zakładki "Podstawa wymiaru 10 lat SC_SCS"</t>
  </si>
  <si>
    <t xml:space="preserve">Wysokość emerytury  -  kwota do wypłaty </t>
  </si>
  <si>
    <t>Kwota emerytury, w wysokośći "tzw. brutto"</t>
  </si>
  <si>
    <r>
      <t>Data zwolnienia ze służby -</t>
    </r>
    <r>
      <rPr>
        <b/>
        <sz val="10"/>
        <rFont val="Calibri"/>
        <family val="2"/>
        <charset val="238"/>
        <scheme val="minor"/>
      </rPr>
      <t xml:space="preserve"> pobierana z zakładki "Podstawa wymiaru 10 lat SC_SCS"</t>
    </r>
  </si>
  <si>
    <t>wypełniamy pola jasne - datę zwolnienia i kwotę przeciętnego miesięcznego  uposażenia na podstawie TABELI C.</t>
  </si>
  <si>
    <r>
      <t>Data zwolnienia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*) </t>
    </r>
  </si>
  <si>
    <r>
      <rPr>
        <vertAlign val="superscript"/>
        <sz val="11"/>
        <color theme="1"/>
        <rFont val="Calibri"/>
        <family val="2"/>
        <charset val="238"/>
        <scheme val="minor"/>
      </rPr>
      <t>*)</t>
    </r>
    <r>
      <rPr>
        <sz val="11"/>
        <color theme="1"/>
        <rFont val="Calibri"/>
        <family val="2"/>
        <charset val="238"/>
        <scheme val="minor"/>
      </rPr>
      <t xml:space="preserve"> data zwolnienia albo przekształcenia albo wygaśnięcia stosunku służbowego</t>
    </r>
  </si>
  <si>
    <t>Obowiązkowo wypełniamy zakładkę "Podstawa wymiaru 10 lat SC_SCS"</t>
  </si>
  <si>
    <t>Kwota przeciętnego mies. uposażenia z dnia zwolnienia -  pobierana z zakładki "Podstawa wymiaru 10 lat SC_SCS"</t>
  </si>
  <si>
    <t>Wskaźnik wysokości podstawy wymiaru WWPW (obliczony automatycznie)</t>
  </si>
  <si>
    <t>WWPW przyjęty do ustalenia do podstawy</t>
  </si>
  <si>
    <r>
      <t>Wskaźnik wysokości podstawy wymiaru WWPW</t>
    </r>
    <r>
      <rPr>
        <b/>
        <i/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(obliczony samodzielnie)</t>
    </r>
  </si>
  <si>
    <t xml:space="preserve">Suma 10 najkorzystniejszych wskaźników </t>
  </si>
  <si>
    <r>
      <t xml:space="preserve">Roczne -  uposażenie funkcjonariusza SC lub SCS
 </t>
    </r>
    <r>
      <rPr>
        <i/>
        <sz val="9"/>
        <color theme="1"/>
        <rFont val="Calibri"/>
        <family val="2"/>
        <charset val="238"/>
        <scheme val="minor"/>
      </rPr>
      <t>(roczna albo z okresu 2017 r. suma uposażenia zasadniczego wraz z dodatkami o charakterze stałym i nagrodą roczną)</t>
    </r>
  </si>
  <si>
    <t xml:space="preserve"> Jeżeli do komórki E32 wprowadzono wskaźnik WWPW obliczony samodzielnie, tj. E32&gt;0%, to do obliczenia podstawy wymiaru przyjęty zostanie wskaźnik z tej komórki. Jeżeli E32=0%, to do podstawy wymiaru przyjęty zostanie wskaźnik WWPW obliczony automatycznie w komórce E30</t>
  </si>
  <si>
    <r>
      <t xml:space="preserve">Kwota przeciętnego miesięcznego  uposażenia 
z dnia zwolnienia (art. 18f ust. 3 pkt. 4). 
</t>
    </r>
    <r>
      <rPr>
        <b/>
        <i/>
        <sz val="11"/>
        <color rgb="FFC00000"/>
        <rFont val="Calibri"/>
        <family val="2"/>
        <charset val="238"/>
        <scheme val="minor"/>
      </rPr>
      <t>Proszę wybrać odpowiednią kwotę z TABELI C.</t>
    </r>
  </si>
  <si>
    <t>art. 15d lub art. 15e (SC lub SCS)</t>
  </si>
  <si>
    <t>Rodzaje wysługi (bez podwyższenia z art. 15 ust. 2-3b)</t>
  </si>
  <si>
    <t>Podstawa wymiaru emerytury z 10 lat (na dzień ustalenia prawa)</t>
  </si>
  <si>
    <t>Podstawa wymiaru emerytury (na dzień ustalenia prawa) - pobierana z zakładki "Podstawa wymiaru 10 lat SC_SCS"</t>
  </si>
  <si>
    <t>Wskaźnik wysokości podstawy wymiaru WWPW przyjęty do ustalenia podstawy wymiaru emerytury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</si>
</sst>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-mm\-yyyy"/>
    <numFmt numFmtId="165" formatCode="#,##0.00\ &quot;zł&quot;"/>
    <numFmt numFmtId="166" formatCode="0.0%"/>
  </numFmts>
  <fonts count="4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"/>
      <color theme="3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31"/>
      </patternFill>
    </fill>
    <fill>
      <patternFill patternType="solid">
        <fgColor rgb="FFF9D5E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D9E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DE1ED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 style="medium">
        <color indexed="64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indexed="64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medium">
        <color indexed="64"/>
      </right>
      <top/>
      <bottom style="thin">
        <color rgb="FF00B0F0"/>
      </bottom>
      <diagonal/>
    </border>
    <border>
      <left style="thin">
        <color rgb="FF00B0F0"/>
      </left>
      <right style="medium">
        <color indexed="64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medium">
        <color indexed="64"/>
      </right>
      <top style="thin">
        <color rgb="FF00B0F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376">
    <xf numFmtId="0" fontId="0" fillId="0" borderId="0" xfId="0"/>
    <xf numFmtId="14" fontId="0" fillId="0" borderId="54" xfId="0" applyNumberFormat="1" applyBorder="1" applyAlignment="1" applyProtection="1">
      <alignment horizontal="center" vertical="center"/>
      <protection locked="0"/>
    </xf>
    <xf numFmtId="14" fontId="0" fillId="0" borderId="55" xfId="0" applyNumberFormat="1" applyBorder="1" applyAlignment="1" applyProtection="1">
      <alignment horizontal="center" vertical="center"/>
      <protection locked="0"/>
    </xf>
    <xf numFmtId="14" fontId="0" fillId="0" borderId="50" xfId="0" applyNumberFormat="1" applyBorder="1" applyAlignment="1" applyProtection="1">
      <alignment horizontal="center" vertical="center"/>
      <protection locked="0"/>
    </xf>
    <xf numFmtId="14" fontId="0" fillId="0" borderId="56" xfId="0" applyNumberFormat="1" applyBorder="1" applyAlignment="1" applyProtection="1">
      <alignment horizontal="center" vertical="center"/>
      <protection locked="0"/>
    </xf>
    <xf numFmtId="14" fontId="0" fillId="0" borderId="51" xfId="0" applyNumberFormat="1" applyBorder="1" applyAlignment="1" applyProtection="1">
      <alignment horizontal="center" vertical="center"/>
      <protection locked="0"/>
    </xf>
    <xf numFmtId="14" fontId="0" fillId="0" borderId="57" xfId="0" applyNumberFormat="1" applyBorder="1" applyAlignment="1" applyProtection="1">
      <alignment horizontal="center" vertical="center"/>
      <protection locked="0"/>
    </xf>
    <xf numFmtId="14" fontId="0" fillId="0" borderId="49" xfId="0" applyNumberFormat="1" applyBorder="1" applyAlignment="1" applyProtection="1">
      <alignment horizontal="center" vertical="center"/>
      <protection locked="0"/>
    </xf>
    <xf numFmtId="14" fontId="0" fillId="0" borderId="52" xfId="0" applyNumberFormat="1" applyBorder="1" applyAlignment="1" applyProtection="1">
      <alignment horizontal="center" vertical="center"/>
      <protection locked="0"/>
    </xf>
    <xf numFmtId="14" fontId="3" fillId="0" borderId="28" xfId="0" applyNumberFormat="1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14" fontId="5" fillId="0" borderId="28" xfId="0" applyNumberFormat="1" applyFont="1" applyBorder="1" applyAlignment="1" applyProtection="1">
      <alignment horizontal="center" vertical="center"/>
      <protection locked="0"/>
    </xf>
    <xf numFmtId="165" fontId="0" fillId="2" borderId="24" xfId="0" applyNumberFormat="1" applyFill="1" applyBorder="1" applyAlignment="1" applyProtection="1">
      <alignment horizontal="right" vertical="center"/>
      <protection locked="0"/>
    </xf>
    <xf numFmtId="165" fontId="0" fillId="2" borderId="9" xfId="0" applyNumberFormat="1" applyFill="1" applyBorder="1" applyAlignment="1" applyProtection="1">
      <alignment horizontal="right" vertical="center"/>
      <protection locked="0"/>
    </xf>
    <xf numFmtId="165" fontId="0" fillId="2" borderId="10" xfId="0" applyNumberFormat="1" applyFill="1" applyBorder="1" applyAlignment="1" applyProtection="1">
      <alignment horizontal="right" vertical="center"/>
      <protection locked="0"/>
    </xf>
    <xf numFmtId="165" fontId="0" fillId="0" borderId="15" xfId="0" applyNumberFormat="1" applyBorder="1" applyAlignment="1" applyProtection="1">
      <alignment horizontal="right" vertical="center"/>
      <protection locked="0"/>
    </xf>
    <xf numFmtId="0" fontId="0" fillId="0" borderId="0" xfId="0" applyProtection="1"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165" fontId="0" fillId="3" borderId="18" xfId="0" applyNumberFormat="1" applyFill="1" applyBorder="1" applyAlignment="1" applyProtection="1">
      <alignment vertical="center"/>
      <protection hidden="1"/>
    </xf>
    <xf numFmtId="10" fontId="0" fillId="3" borderId="2" xfId="1" applyNumberFormat="1" applyFont="1" applyFill="1" applyBorder="1" applyAlignment="1" applyProtection="1">
      <alignment vertical="center"/>
      <protection hidden="1"/>
    </xf>
    <xf numFmtId="166" fontId="0" fillId="2" borderId="0" xfId="1" applyNumberFormat="1" applyFont="1" applyFill="1" applyBorder="1" applyProtection="1">
      <protection hidden="1"/>
    </xf>
    <xf numFmtId="165" fontId="0" fillId="3" borderId="3" xfId="0" applyNumberFormat="1" applyFill="1" applyBorder="1" applyAlignment="1" applyProtection="1">
      <alignment vertical="center"/>
      <protection hidden="1"/>
    </xf>
    <xf numFmtId="10" fontId="1" fillId="7" borderId="9" xfId="1" applyNumberFormat="1" applyFont="1" applyFill="1" applyBorder="1" applyAlignment="1" applyProtection="1">
      <alignment vertical="center"/>
      <protection hidden="1"/>
    </xf>
    <xf numFmtId="10" fontId="6" fillId="17" borderId="24" xfId="1" applyNumberFormat="1" applyFont="1" applyFill="1" applyBorder="1" applyProtection="1">
      <protection hidden="1"/>
    </xf>
    <xf numFmtId="10" fontId="6" fillId="17" borderId="9" xfId="1" applyNumberFormat="1" applyFont="1" applyFill="1" applyBorder="1" applyProtection="1">
      <protection hidden="1"/>
    </xf>
    <xf numFmtId="165" fontId="0" fillId="3" borderId="22" xfId="0" applyNumberFormat="1" applyFill="1" applyBorder="1" applyAlignment="1" applyProtection="1">
      <alignment vertical="center"/>
      <protection hidden="1"/>
    </xf>
    <xf numFmtId="10" fontId="0" fillId="3" borderId="26" xfId="1" applyNumberFormat="1" applyFont="1" applyFill="1" applyBorder="1" applyAlignment="1" applyProtection="1">
      <alignment vertical="center"/>
      <protection hidden="1"/>
    </xf>
    <xf numFmtId="10" fontId="1" fillId="7" borderId="27" xfId="1" applyNumberFormat="1" applyFont="1" applyFill="1" applyBorder="1" applyAlignment="1" applyProtection="1">
      <alignment vertical="center"/>
      <protection hidden="1"/>
    </xf>
    <xf numFmtId="165" fontId="0" fillId="3" borderId="59" xfId="0" applyNumberFormat="1" applyFill="1" applyBorder="1" applyAlignment="1" applyProtection="1">
      <alignment vertical="center"/>
      <protection hidden="1"/>
    </xf>
    <xf numFmtId="10" fontId="0" fillId="3" borderId="45" xfId="1" applyNumberFormat="1" applyFont="1" applyFill="1" applyBorder="1" applyAlignment="1" applyProtection="1">
      <alignment vertical="center"/>
      <protection hidden="1"/>
    </xf>
    <xf numFmtId="165" fontId="0" fillId="3" borderId="19" xfId="0" applyNumberFormat="1" applyFill="1" applyBorder="1" applyAlignment="1" applyProtection="1">
      <alignment vertical="center"/>
      <protection hidden="1"/>
    </xf>
    <xf numFmtId="10" fontId="0" fillId="3" borderId="12" xfId="1" applyNumberFormat="1" applyFont="1" applyFill="1" applyBorder="1" applyAlignment="1" applyProtection="1">
      <alignment vertical="center"/>
      <protection hidden="1"/>
    </xf>
    <xf numFmtId="10" fontId="0" fillId="3" borderId="8" xfId="1" applyNumberFormat="1" applyFont="1" applyFill="1" applyBorder="1" applyAlignment="1" applyProtection="1">
      <alignment vertical="center"/>
      <protection hidden="1"/>
    </xf>
    <xf numFmtId="10" fontId="1" fillId="7" borderId="15" xfId="1" applyNumberFormat="1" applyFont="1" applyFill="1" applyBorder="1" applyAlignment="1" applyProtection="1">
      <alignment vertical="center"/>
      <protection hidden="1"/>
    </xf>
    <xf numFmtId="9" fontId="0" fillId="2" borderId="0" xfId="1" applyFont="1" applyFill="1" applyBorder="1" applyProtection="1">
      <protection hidden="1"/>
    </xf>
    <xf numFmtId="10" fontId="1" fillId="7" borderId="10" xfId="1" applyNumberFormat="1" applyFont="1" applyFill="1" applyBorder="1" applyAlignment="1" applyProtection="1">
      <alignment vertical="center"/>
      <protection hidden="1"/>
    </xf>
    <xf numFmtId="10" fontId="6" fillId="17" borderId="10" xfId="1" applyNumberFormat="1" applyFont="1" applyFill="1" applyBorder="1" applyProtection="1">
      <protection hidden="1"/>
    </xf>
    <xf numFmtId="0" fontId="0" fillId="0" borderId="0" xfId="0" applyAlignment="1" applyProtection="1">
      <alignment vertical="center"/>
      <protection hidden="1"/>
    </xf>
    <xf numFmtId="165" fontId="0" fillId="0" borderId="0" xfId="0" applyNumberFormat="1" applyAlignment="1" applyProtection="1">
      <alignment horizontal="right" vertical="center"/>
      <protection hidden="1"/>
    </xf>
    <xf numFmtId="165" fontId="0" fillId="0" borderId="0" xfId="0" applyNumberFormat="1" applyAlignment="1" applyProtection="1">
      <alignment vertical="center"/>
      <protection hidden="1"/>
    </xf>
    <xf numFmtId="10" fontId="0" fillId="0" borderId="0" xfId="1" applyNumberFormat="1" applyFont="1" applyAlignment="1" applyProtection="1">
      <alignment vertical="center"/>
      <protection hidden="1"/>
    </xf>
    <xf numFmtId="9" fontId="0" fillId="0" borderId="0" xfId="1" applyFont="1" applyAlignment="1" applyProtection="1">
      <alignment vertical="center"/>
      <protection hidden="1"/>
    </xf>
    <xf numFmtId="10" fontId="14" fillId="3" borderId="4" xfId="1" applyNumberFormat="1" applyFont="1" applyFill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" fillId="3" borderId="61" xfId="0" applyFont="1" applyFill="1" applyBorder="1" applyAlignment="1" applyProtection="1">
      <alignment horizontal="center" vertical="center"/>
      <protection hidden="1"/>
    </xf>
    <xf numFmtId="0" fontId="1" fillId="3" borderId="44" xfId="0" applyFont="1" applyFill="1" applyBorder="1" applyAlignment="1" applyProtection="1">
      <alignment horizontal="center" vertical="center"/>
      <protection hidden="1"/>
    </xf>
    <xf numFmtId="0" fontId="1" fillId="3" borderId="60" xfId="0" applyFont="1" applyFill="1" applyBorder="1" applyAlignment="1" applyProtection="1">
      <alignment horizontal="center" vertical="center"/>
      <protection hidden="1"/>
    </xf>
    <xf numFmtId="0" fontId="1" fillId="16" borderId="62" xfId="0" applyFont="1" applyFill="1" applyBorder="1" applyAlignment="1" applyProtection="1">
      <alignment horizontal="center" vertical="center"/>
      <protection hidden="1"/>
    </xf>
    <xf numFmtId="0" fontId="1" fillId="16" borderId="63" xfId="0" applyFont="1" applyFill="1" applyBorder="1" applyAlignment="1" applyProtection="1">
      <alignment horizontal="center" vertical="center"/>
      <protection hidden="1"/>
    </xf>
    <xf numFmtId="0" fontId="1" fillId="3" borderId="46" xfId="0" applyFont="1" applyFill="1" applyBorder="1" applyAlignment="1" applyProtection="1">
      <alignment horizontal="center" vertical="center"/>
      <protection hidden="1"/>
    </xf>
    <xf numFmtId="0" fontId="21" fillId="2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/>
      <protection hidden="1"/>
    </xf>
    <xf numFmtId="10" fontId="1" fillId="14" borderId="11" xfId="1" applyNumberFormat="1" applyFont="1" applyFill="1" applyBorder="1" applyAlignment="1" applyProtection="1">
      <alignment horizontal="right" vertical="center"/>
      <protection hidden="1"/>
    </xf>
    <xf numFmtId="10" fontId="1" fillId="14" borderId="11" xfId="1" applyNumberFormat="1" applyFont="1" applyFill="1" applyBorder="1" applyAlignment="1" applyProtection="1">
      <alignment vertical="center"/>
      <protection hidden="1"/>
    </xf>
    <xf numFmtId="165" fontId="1" fillId="3" borderId="4" xfId="0" applyNumberFormat="1" applyFont="1" applyFill="1" applyBorder="1" applyAlignment="1" applyProtection="1">
      <alignment horizontal="right" vertical="center"/>
      <protection hidden="1"/>
    </xf>
    <xf numFmtId="165" fontId="1" fillId="11" borderId="4" xfId="0" applyNumberFormat="1" applyFont="1" applyFill="1" applyBorder="1" applyAlignment="1" applyProtection="1">
      <alignment horizontal="right" vertical="center"/>
      <protection hidden="1"/>
    </xf>
    <xf numFmtId="10" fontId="1" fillId="3" borderId="4" xfId="1" applyNumberFormat="1" applyFont="1" applyFill="1" applyBorder="1" applyAlignment="1" applyProtection="1">
      <alignment horizontal="right" vertical="center"/>
      <protection hidden="1"/>
    </xf>
    <xf numFmtId="165" fontId="1" fillId="11" borderId="4" xfId="0" applyNumberFormat="1" applyFont="1" applyFill="1" applyBorder="1" applyAlignment="1" applyProtection="1">
      <alignment vertical="center"/>
      <protection hidden="1"/>
    </xf>
    <xf numFmtId="10" fontId="9" fillId="2" borderId="0" xfId="0" applyNumberFormat="1" applyFont="1" applyFill="1" applyBorder="1" applyAlignment="1" applyProtection="1">
      <alignment vertical="center"/>
      <protection hidden="1"/>
    </xf>
    <xf numFmtId="165" fontId="3" fillId="8" borderId="36" xfId="0" applyNumberFormat="1" applyFont="1" applyFill="1" applyBorder="1" applyAlignment="1" applyProtection="1">
      <alignment horizontal="center" vertical="center" wrapText="1"/>
      <protection hidden="1"/>
    </xf>
    <xf numFmtId="10" fontId="9" fillId="19" borderId="4" xfId="0" applyNumberFormat="1" applyFont="1" applyFill="1" applyBorder="1" applyAlignment="1" applyProtection="1">
      <alignment vertical="center"/>
      <protection hidden="1"/>
    </xf>
    <xf numFmtId="10" fontId="1" fillId="2" borderId="0" xfId="1" applyNumberFormat="1" applyFont="1" applyFill="1" applyBorder="1" applyAlignment="1" applyProtection="1">
      <alignment vertical="center"/>
      <protection hidden="1"/>
    </xf>
    <xf numFmtId="0" fontId="0" fillId="2" borderId="0" xfId="0" applyFill="1" applyBorder="1" applyProtection="1">
      <protection hidden="1"/>
    </xf>
    <xf numFmtId="0" fontId="3" fillId="3" borderId="13" xfId="0" applyFont="1" applyFill="1" applyBorder="1" applyAlignment="1" applyProtection="1">
      <alignment horizontal="left" vertical="center"/>
      <protection hidden="1"/>
    </xf>
    <xf numFmtId="0" fontId="3" fillId="3" borderId="20" xfId="0" applyFont="1" applyFill="1" applyBorder="1" applyAlignment="1" applyProtection="1">
      <alignment horizontal="left" vertical="center"/>
      <protection hidden="1"/>
    </xf>
    <xf numFmtId="0" fontId="3" fillId="3" borderId="14" xfId="0" applyFont="1" applyFill="1" applyBorder="1" applyAlignment="1" applyProtection="1">
      <alignment horizontal="left" vertical="center"/>
      <protection hidden="1"/>
    </xf>
    <xf numFmtId="9" fontId="0" fillId="2" borderId="0" xfId="1" applyFont="1" applyFill="1" applyAlignment="1" applyProtection="1">
      <alignment vertical="center"/>
      <protection hidden="1"/>
    </xf>
    <xf numFmtId="0" fontId="0" fillId="2" borderId="0" xfId="0" applyFill="1" applyProtection="1">
      <protection hidden="1"/>
    </xf>
    <xf numFmtId="0" fontId="9" fillId="2" borderId="0" xfId="0" applyFont="1" applyFill="1" applyAlignment="1" applyProtection="1">
      <alignment vertical="justify" wrapText="1"/>
      <protection hidden="1"/>
    </xf>
    <xf numFmtId="0" fontId="7" fillId="0" borderId="0" xfId="0" applyFont="1" applyAlignment="1" applyProtection="1">
      <alignment horizontal="left"/>
      <protection hidden="1"/>
    </xf>
    <xf numFmtId="14" fontId="3" fillId="3" borderId="32" xfId="0" applyNumberFormat="1" applyFont="1" applyFill="1" applyBorder="1" applyAlignment="1" applyProtection="1">
      <alignment horizontal="center" vertical="center"/>
      <protection hidden="1"/>
    </xf>
    <xf numFmtId="165" fontId="1" fillId="18" borderId="4" xfId="0" applyNumberFormat="1" applyFont="1" applyFill="1" applyBorder="1" applyAlignment="1" applyProtection="1">
      <alignment horizontal="right" vertical="center"/>
      <protection hidden="1"/>
    </xf>
    <xf numFmtId="165" fontId="19" fillId="8" borderId="15" xfId="0" applyNumberFormat="1" applyFont="1" applyFill="1" applyBorder="1" applyAlignment="1" applyProtection="1">
      <alignment horizontal="right" vertical="center"/>
      <protection hidden="1"/>
    </xf>
    <xf numFmtId="165" fontId="19" fillId="8" borderId="27" xfId="0" applyNumberFormat="1" applyFont="1" applyFill="1" applyBorder="1" applyAlignment="1" applyProtection="1">
      <alignment horizontal="right" vertical="center"/>
      <protection hidden="1"/>
    </xf>
    <xf numFmtId="165" fontId="14" fillId="4" borderId="4" xfId="0" applyNumberFormat="1" applyFont="1" applyFill="1" applyBorder="1" applyAlignment="1" applyProtection="1">
      <alignment horizontal="right" vertical="center"/>
      <protection hidden="1"/>
    </xf>
    <xf numFmtId="165" fontId="1" fillId="3" borderId="4" xfId="0" applyNumberFormat="1" applyFont="1" applyFill="1" applyBorder="1" applyAlignment="1" applyProtection="1">
      <alignment vertical="center"/>
      <protection hidden="1"/>
    </xf>
    <xf numFmtId="0" fontId="29" fillId="0" borderId="0" xfId="0" applyFont="1" applyAlignment="1" applyProtection="1">
      <alignment horizontal="center" vertical="center" wrapText="1"/>
      <protection hidden="1"/>
    </xf>
    <xf numFmtId="10" fontId="1" fillId="3" borderId="24" xfId="1" applyNumberFormat="1" applyFont="1" applyFill="1" applyBorder="1" applyAlignment="1" applyProtection="1">
      <alignment horizontal="right" vertical="center"/>
      <protection hidden="1"/>
    </xf>
    <xf numFmtId="10" fontId="1" fillId="3" borderId="11" xfId="1" applyNumberFormat="1" applyFont="1" applyFill="1" applyBorder="1" applyAlignment="1" applyProtection="1">
      <alignment vertical="center"/>
      <protection hidden="1"/>
    </xf>
    <xf numFmtId="10" fontId="1" fillId="3" borderId="4" xfId="1" applyNumberFormat="1" applyFont="1" applyFill="1" applyBorder="1" applyAlignment="1" applyProtection="1">
      <alignment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14" fontId="28" fillId="0" borderId="59" xfId="0" applyNumberFormat="1" applyFont="1" applyBorder="1" applyAlignment="1" applyProtection="1">
      <alignment horizontal="center" vertical="center"/>
      <protection hidden="1"/>
    </xf>
    <xf numFmtId="9" fontId="21" fillId="0" borderId="0" xfId="0" applyNumberFormat="1" applyFont="1" applyProtection="1">
      <protection hidden="1"/>
    </xf>
    <xf numFmtId="165" fontId="21" fillId="0" borderId="0" xfId="0" applyNumberFormat="1" applyFont="1" applyProtection="1">
      <protection hidden="1"/>
    </xf>
    <xf numFmtId="0" fontId="15" fillId="11" borderId="4" xfId="0" applyFont="1" applyFill="1" applyBorder="1" applyAlignment="1" applyProtection="1">
      <alignment horizontal="center" vertical="center"/>
      <protection hidden="1"/>
    </xf>
    <xf numFmtId="0" fontId="3" fillId="3" borderId="34" xfId="0" applyFont="1" applyFill="1" applyBorder="1" applyAlignment="1" applyProtection="1">
      <alignment horizontal="center" vertical="center"/>
      <protection hidden="1"/>
    </xf>
    <xf numFmtId="0" fontId="3" fillId="3" borderId="35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3" fillId="3" borderId="25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1" fillId="8" borderId="5" xfId="0" applyFont="1" applyFill="1" applyBorder="1" applyAlignment="1" applyProtection="1">
      <alignment horizontal="center" vertical="center"/>
      <protection hidden="1"/>
    </xf>
    <xf numFmtId="0" fontId="1" fillId="8" borderId="7" xfId="0" applyFont="1" applyFill="1" applyBorder="1" applyAlignment="1" applyProtection="1">
      <alignment horizontal="center" vertical="center"/>
      <protection hidden="1"/>
    </xf>
    <xf numFmtId="14" fontId="1" fillId="8" borderId="6" xfId="0" applyNumberFormat="1" applyFont="1" applyFill="1" applyBorder="1" applyAlignment="1" applyProtection="1">
      <alignment horizontal="center" vertical="center"/>
      <protection hidden="1"/>
    </xf>
    <xf numFmtId="0" fontId="5" fillId="3" borderId="24" xfId="0" applyFont="1" applyFill="1" applyBorder="1" applyAlignment="1" applyProtection="1">
      <alignment vertical="center" wrapText="1"/>
      <protection hidden="1"/>
    </xf>
    <xf numFmtId="0" fontId="3" fillId="11" borderId="4" xfId="0" applyFont="1" applyFill="1" applyBorder="1" applyAlignment="1" applyProtection="1">
      <alignment horizontal="center" vertical="center"/>
      <protection hidden="1"/>
    </xf>
    <xf numFmtId="14" fontId="0" fillId="0" borderId="54" xfId="0" applyNumberFormat="1" applyBorder="1" applyAlignment="1" applyProtection="1">
      <alignment horizontal="center" vertical="center"/>
      <protection hidden="1"/>
    </xf>
    <xf numFmtId="14" fontId="0" fillId="0" borderId="55" xfId="0" applyNumberFormat="1" applyBorder="1" applyAlignment="1" applyProtection="1">
      <alignment horizontal="center" vertical="center"/>
      <protection hidden="1"/>
    </xf>
    <xf numFmtId="0" fontId="0" fillId="7" borderId="41" xfId="0" applyFill="1" applyBorder="1" applyAlignment="1" applyProtection="1">
      <alignment vertical="center"/>
      <protection hidden="1"/>
    </xf>
    <xf numFmtId="0" fontId="0" fillId="7" borderId="42" xfId="0" applyFill="1" applyBorder="1" applyAlignment="1" applyProtection="1">
      <alignment vertical="center"/>
      <protection hidden="1"/>
    </xf>
    <xf numFmtId="0" fontId="0" fillId="7" borderId="43" xfId="0" applyFill="1" applyBorder="1" applyAlignment="1" applyProtection="1">
      <alignment vertical="center"/>
      <protection hidden="1"/>
    </xf>
    <xf numFmtId="0" fontId="3" fillId="3" borderId="10" xfId="0" applyFont="1" applyFill="1" applyBorder="1" applyAlignment="1" applyProtection="1">
      <alignment vertical="center"/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0" fillId="7" borderId="30" xfId="0" applyFill="1" applyBorder="1" applyAlignment="1" applyProtection="1">
      <alignment vertical="center"/>
      <protection hidden="1"/>
    </xf>
    <xf numFmtId="0" fontId="0" fillId="7" borderId="1" xfId="0" applyFill="1" applyBorder="1" applyAlignment="1" applyProtection="1">
      <alignment vertical="center"/>
      <protection hidden="1"/>
    </xf>
    <xf numFmtId="0" fontId="0" fillId="7" borderId="31" xfId="0" applyFill="1" applyBorder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 wrapText="1"/>
      <protection hidden="1"/>
    </xf>
    <xf numFmtId="0" fontId="5" fillId="3" borderId="4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6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8" fillId="0" borderId="0" xfId="0" applyFont="1" applyProtection="1">
      <protection hidden="1"/>
    </xf>
    <xf numFmtId="14" fontId="0" fillId="0" borderId="50" xfId="0" applyNumberFormat="1" applyBorder="1" applyAlignment="1" applyProtection="1">
      <alignment horizontal="center" vertical="center"/>
      <protection hidden="1"/>
    </xf>
    <xf numFmtId="14" fontId="0" fillId="0" borderId="56" xfId="0" applyNumberFormat="1" applyBorder="1" applyAlignment="1" applyProtection="1">
      <alignment horizontal="center" vertical="center"/>
      <protection hidden="1"/>
    </xf>
    <xf numFmtId="0" fontId="3" fillId="10" borderId="24" xfId="0" applyFont="1" applyFill="1" applyBorder="1" applyAlignment="1" applyProtection="1">
      <alignment vertical="center" wrapText="1"/>
      <protection hidden="1"/>
    </xf>
    <xf numFmtId="0" fontId="3" fillId="10" borderId="59" xfId="0" applyFont="1" applyFill="1" applyBorder="1" applyAlignment="1" applyProtection="1">
      <alignment horizontal="center" vertical="center"/>
      <protection hidden="1"/>
    </xf>
    <xf numFmtId="0" fontId="3" fillId="10" borderId="47" xfId="0" applyFont="1" applyFill="1" applyBorder="1" applyAlignment="1" applyProtection="1">
      <alignment horizontal="center" vertical="center"/>
      <protection hidden="1"/>
    </xf>
    <xf numFmtId="0" fontId="2" fillId="10" borderId="45" xfId="0" applyFont="1" applyFill="1" applyBorder="1" applyAlignment="1" applyProtection="1">
      <alignment horizontal="center" vertical="center"/>
      <protection hidden="1"/>
    </xf>
    <xf numFmtId="0" fontId="3" fillId="12" borderId="9" xfId="0" applyFont="1" applyFill="1" applyBorder="1" applyAlignment="1" applyProtection="1">
      <alignment vertical="center"/>
      <protection hidden="1"/>
    </xf>
    <xf numFmtId="0" fontId="3" fillId="12" borderId="3" xfId="0" applyFont="1" applyFill="1" applyBorder="1" applyAlignment="1" applyProtection="1">
      <alignment horizontal="center" vertical="center"/>
      <protection hidden="1"/>
    </xf>
    <xf numFmtId="0" fontId="3" fillId="12" borderId="1" xfId="0" applyFont="1" applyFill="1" applyBorder="1" applyAlignment="1" applyProtection="1">
      <alignment horizontal="center" vertical="center"/>
      <protection hidden="1"/>
    </xf>
    <xf numFmtId="0" fontId="2" fillId="12" borderId="2" xfId="0" applyFont="1" applyFill="1" applyBorder="1" applyAlignment="1" applyProtection="1">
      <alignment horizontal="center" vertical="center"/>
      <protection hidden="1"/>
    </xf>
    <xf numFmtId="10" fontId="1" fillId="3" borderId="15" xfId="1" applyNumberFormat="1" applyFont="1" applyFill="1" applyBorder="1" applyAlignment="1" applyProtection="1">
      <alignment vertical="center"/>
      <protection hidden="1"/>
    </xf>
    <xf numFmtId="0" fontId="3" fillId="5" borderId="10" xfId="0" applyFont="1" applyFill="1" applyBorder="1" applyAlignment="1" applyProtection="1">
      <alignment vertical="center"/>
      <protection hidden="1"/>
    </xf>
    <xf numFmtId="0" fontId="3" fillId="5" borderId="19" xfId="0" applyFont="1" applyFill="1" applyBorder="1" applyAlignment="1" applyProtection="1">
      <alignment horizontal="center" vertical="center"/>
      <protection hidden="1"/>
    </xf>
    <xf numFmtId="0" fontId="3" fillId="5" borderId="37" xfId="0" applyFont="1" applyFill="1" applyBorder="1" applyAlignment="1" applyProtection="1">
      <alignment horizontal="center" vertical="center"/>
      <protection hidden="1"/>
    </xf>
    <xf numFmtId="0" fontId="2" fillId="5" borderId="12" xfId="0" applyFont="1" applyFill="1" applyBorder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0" fontId="3" fillId="2" borderId="0" xfId="1" applyNumberFormat="1" applyFont="1" applyFill="1" applyBorder="1" applyAlignment="1" applyProtection="1">
      <alignment vertical="center"/>
      <protection hidden="1"/>
    </xf>
    <xf numFmtId="14" fontId="0" fillId="0" borderId="51" xfId="0" applyNumberFormat="1" applyBorder="1" applyAlignment="1" applyProtection="1">
      <alignment horizontal="center" vertical="center"/>
      <protection hidden="1"/>
    </xf>
    <xf numFmtId="14" fontId="0" fillId="0" borderId="57" xfId="0" applyNumberFormat="1" applyBorder="1" applyAlignment="1" applyProtection="1">
      <alignment horizontal="center" vertical="center"/>
      <protection hidden="1"/>
    </xf>
    <xf numFmtId="0" fontId="0" fillId="7" borderId="48" xfId="0" applyFill="1" applyBorder="1" applyAlignment="1" applyProtection="1">
      <alignment vertical="center"/>
      <protection hidden="1"/>
    </xf>
    <xf numFmtId="0" fontId="0" fillId="7" borderId="21" xfId="0" applyFill="1" applyBorder="1" applyAlignment="1" applyProtection="1">
      <alignment vertical="center"/>
      <protection hidden="1"/>
    </xf>
    <xf numFmtId="0" fontId="0" fillId="7" borderId="53" xfId="0" applyFill="1" applyBorder="1" applyAlignment="1" applyProtection="1">
      <alignment vertical="center"/>
      <protection hidden="1"/>
    </xf>
    <xf numFmtId="0" fontId="1" fillId="8" borderId="4" xfId="0" applyFont="1" applyFill="1" applyBorder="1" applyAlignment="1" applyProtection="1">
      <alignment vertical="center"/>
      <protection hidden="1"/>
    </xf>
    <xf numFmtId="0" fontId="1" fillId="8" borderId="14" xfId="0" applyFont="1" applyFill="1" applyBorder="1" applyAlignment="1" applyProtection="1">
      <alignment vertical="center"/>
      <protection hidden="1"/>
    </xf>
    <xf numFmtId="0" fontId="1" fillId="12" borderId="5" xfId="0" applyFont="1" applyFill="1" applyBorder="1" applyAlignment="1" applyProtection="1">
      <alignment horizontal="center" vertical="center"/>
      <protection hidden="1"/>
    </xf>
    <xf numFmtId="0" fontId="1" fillId="12" borderId="16" xfId="0" applyFont="1" applyFill="1" applyBorder="1" applyAlignment="1" applyProtection="1">
      <alignment horizontal="center" vertical="center"/>
      <protection hidden="1"/>
    </xf>
    <xf numFmtId="14" fontId="1" fillId="12" borderId="6" xfId="0" applyNumberFormat="1" applyFont="1" applyFill="1" applyBorder="1" applyAlignment="1" applyProtection="1">
      <alignment horizontal="center" vertical="center"/>
      <protection hidden="1"/>
    </xf>
    <xf numFmtId="0" fontId="1" fillId="12" borderId="7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Protection="1">
      <protection hidden="1"/>
    </xf>
    <xf numFmtId="0" fontId="3" fillId="0" borderId="0" xfId="0" applyFont="1" applyProtection="1"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9" fontId="0" fillId="0" borderId="0" xfId="0" applyNumberFormat="1" applyAlignment="1" applyProtection="1">
      <alignment horizontal="center" vertical="center"/>
      <protection hidden="1"/>
    </xf>
    <xf numFmtId="10" fontId="0" fillId="0" borderId="0" xfId="1" applyNumberFormat="1" applyFont="1" applyFill="1" applyBorder="1" applyProtection="1">
      <protection hidden="1"/>
    </xf>
    <xf numFmtId="0" fontId="1" fillId="12" borderId="13" xfId="0" applyFont="1" applyFill="1" applyBorder="1" applyAlignment="1" applyProtection="1">
      <alignment vertical="center"/>
      <protection hidden="1"/>
    </xf>
    <xf numFmtId="0" fontId="1" fillId="12" borderId="4" xfId="0" applyFont="1" applyFill="1" applyBorder="1" applyAlignment="1" applyProtection="1">
      <alignment vertical="center"/>
      <protection hidden="1"/>
    </xf>
    <xf numFmtId="0" fontId="1" fillId="12" borderId="14" xfId="0" applyFont="1" applyFill="1" applyBorder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0" fontId="1" fillId="5" borderId="5" xfId="0" applyFont="1" applyFill="1" applyBorder="1" applyAlignment="1" applyProtection="1">
      <alignment horizontal="center" vertical="center"/>
      <protection hidden="1"/>
    </xf>
    <xf numFmtId="0" fontId="1" fillId="5" borderId="16" xfId="0" applyFont="1" applyFill="1" applyBorder="1" applyAlignment="1" applyProtection="1">
      <alignment horizontal="center" vertical="center"/>
      <protection hidden="1"/>
    </xf>
    <xf numFmtId="14" fontId="1" fillId="5" borderId="6" xfId="0" applyNumberFormat="1" applyFont="1" applyFill="1" applyBorder="1" applyAlignment="1" applyProtection="1">
      <alignment horizontal="center" vertical="center"/>
      <protection hidden="1"/>
    </xf>
    <xf numFmtId="0" fontId="1" fillId="5" borderId="7" xfId="0" applyFont="1" applyFill="1" applyBorder="1" applyAlignment="1" applyProtection="1">
      <alignment horizontal="center" vertical="center"/>
      <protection hidden="1"/>
    </xf>
    <xf numFmtId="0" fontId="1" fillId="5" borderId="13" xfId="0" applyFont="1" applyFill="1" applyBorder="1" applyAlignment="1" applyProtection="1">
      <alignment vertical="center"/>
      <protection hidden="1"/>
    </xf>
    <xf numFmtId="0" fontId="1" fillId="5" borderId="4" xfId="0" applyFont="1" applyFill="1" applyBorder="1" applyAlignment="1" applyProtection="1">
      <alignment vertical="center"/>
      <protection hidden="1"/>
    </xf>
    <xf numFmtId="0" fontId="1" fillId="5" borderId="14" xfId="0" applyFont="1" applyFill="1" applyBorder="1" applyAlignment="1" applyProtection="1">
      <alignment vertical="center"/>
      <protection hidden="1"/>
    </xf>
    <xf numFmtId="0" fontId="1" fillId="14" borderId="5" xfId="0" applyFont="1" applyFill="1" applyBorder="1" applyAlignment="1" applyProtection="1">
      <alignment horizontal="center" vertical="center"/>
      <protection hidden="1"/>
    </xf>
    <xf numFmtId="0" fontId="1" fillId="14" borderId="16" xfId="0" applyFont="1" applyFill="1" applyBorder="1" applyAlignment="1" applyProtection="1">
      <alignment horizontal="center" vertical="center"/>
      <protection hidden="1"/>
    </xf>
    <xf numFmtId="14" fontId="1" fillId="14" borderId="6" xfId="0" applyNumberFormat="1" applyFont="1" applyFill="1" applyBorder="1" applyAlignment="1" applyProtection="1">
      <alignment horizontal="center" vertical="center"/>
      <protection hidden="1"/>
    </xf>
    <xf numFmtId="0" fontId="1" fillId="14" borderId="7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0" fillId="7" borderId="41" xfId="0" applyFill="1" applyBorder="1" applyAlignment="1" applyProtection="1">
      <alignment horizontal="right" vertical="center"/>
      <protection hidden="1"/>
    </xf>
    <xf numFmtId="0" fontId="0" fillId="7" borderId="42" xfId="0" applyFill="1" applyBorder="1" applyAlignment="1" applyProtection="1">
      <alignment horizontal="right" vertical="center"/>
      <protection hidden="1"/>
    </xf>
    <xf numFmtId="0" fontId="0" fillId="7" borderId="43" xfId="0" applyFill="1" applyBorder="1" applyAlignment="1" applyProtection="1">
      <alignment horizontal="right" vertical="center"/>
      <protection hidden="1"/>
    </xf>
    <xf numFmtId="0" fontId="5" fillId="2" borderId="0" xfId="0" applyFont="1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1" fillId="14" borderId="4" xfId="0" applyFont="1" applyFill="1" applyBorder="1" applyAlignment="1" applyProtection="1">
      <alignment vertical="center"/>
      <protection hidden="1"/>
    </xf>
    <xf numFmtId="0" fontId="1" fillId="14" borderId="14" xfId="0" applyFont="1" applyFill="1" applyBorder="1" applyAlignment="1" applyProtection="1">
      <alignment vertical="center"/>
      <protection hidden="1"/>
    </xf>
    <xf numFmtId="0" fontId="13" fillId="14" borderId="13" xfId="0" applyFont="1" applyFill="1" applyBorder="1" applyAlignment="1" applyProtection="1">
      <alignment horizontal="right" vertical="center"/>
      <protection hidden="1"/>
    </xf>
    <xf numFmtId="0" fontId="13" fillId="14" borderId="4" xfId="0" applyFont="1" applyFill="1" applyBorder="1" applyAlignment="1" applyProtection="1">
      <alignment horizontal="right" vertical="center"/>
      <protection hidden="1"/>
    </xf>
    <xf numFmtId="0" fontId="13" fillId="14" borderId="14" xfId="0" applyFont="1" applyFill="1" applyBorder="1" applyAlignment="1" applyProtection="1">
      <alignment horizontal="right" vertical="center"/>
      <protection hidden="1"/>
    </xf>
    <xf numFmtId="14" fontId="23" fillId="2" borderId="0" xfId="0" applyNumberFormat="1" applyFont="1" applyFill="1" applyAlignment="1" applyProtection="1">
      <alignment horizontal="center" vertical="center"/>
      <protection hidden="1"/>
    </xf>
    <xf numFmtId="0" fontId="12" fillId="2" borderId="0" xfId="0" applyFont="1" applyFill="1" applyAlignment="1" applyProtection="1">
      <alignment vertical="center"/>
      <protection hidden="1"/>
    </xf>
    <xf numFmtId="0" fontId="0" fillId="8" borderId="13" xfId="0" applyFill="1" applyBorder="1" applyAlignment="1" applyProtection="1">
      <alignment horizontal="center" vertical="center"/>
      <protection hidden="1"/>
    </xf>
    <xf numFmtId="0" fontId="0" fillId="8" borderId="4" xfId="0" applyFill="1" applyBorder="1" applyAlignment="1" applyProtection="1">
      <alignment horizontal="center" vertical="center"/>
      <protection hidden="1"/>
    </xf>
    <xf numFmtId="0" fontId="0" fillId="8" borderId="14" xfId="0" applyFill="1" applyBorder="1" applyAlignment="1" applyProtection="1">
      <alignment horizontal="center" vertical="center"/>
      <protection hidden="1"/>
    </xf>
    <xf numFmtId="0" fontId="0" fillId="14" borderId="38" xfId="0" applyFill="1" applyBorder="1" applyAlignment="1" applyProtection="1">
      <alignment horizontal="center" vertical="center"/>
      <protection hidden="1"/>
    </xf>
    <xf numFmtId="0" fontId="0" fillId="14" borderId="11" xfId="0" applyFill="1" applyBorder="1" applyAlignment="1" applyProtection="1">
      <alignment horizontal="center" vertical="center"/>
      <protection hidden="1"/>
    </xf>
    <xf numFmtId="0" fontId="0" fillId="14" borderId="23" xfId="0" applyFill="1" applyBorder="1" applyAlignment="1" applyProtection="1">
      <alignment horizontal="center" vertical="center"/>
      <protection hidden="1"/>
    </xf>
    <xf numFmtId="0" fontId="6" fillId="9" borderId="13" xfId="0" applyFont="1" applyFill="1" applyBorder="1" applyAlignment="1" applyProtection="1">
      <alignment horizontal="center" vertical="center"/>
      <protection hidden="1"/>
    </xf>
    <xf numFmtId="0" fontId="6" fillId="9" borderId="4" xfId="0" applyFont="1" applyFill="1" applyBorder="1" applyAlignment="1" applyProtection="1">
      <alignment horizontal="center" vertical="center"/>
      <protection hidden="1"/>
    </xf>
    <xf numFmtId="0" fontId="6" fillId="9" borderId="14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14" fontId="2" fillId="0" borderId="1" xfId="0" applyNumberFormat="1" applyFont="1" applyBorder="1" applyAlignment="1" applyProtection="1">
      <alignment horizontal="center" vertical="center"/>
      <protection hidden="1"/>
    </xf>
    <xf numFmtId="0" fontId="5" fillId="5" borderId="25" xfId="0" applyFont="1" applyFill="1" applyBorder="1" applyAlignment="1" applyProtection="1">
      <alignment vertical="center"/>
      <protection hidden="1"/>
    </xf>
    <xf numFmtId="165" fontId="3" fillId="2" borderId="0" xfId="0" applyNumberFormat="1" applyFont="1" applyFill="1" applyAlignment="1" applyProtection="1">
      <alignment horizontal="center" vertical="center"/>
      <protection hidden="1"/>
    </xf>
    <xf numFmtId="0" fontId="2" fillId="10" borderId="18" xfId="0" applyFont="1" applyFill="1" applyBorder="1" applyAlignment="1" applyProtection="1">
      <alignment horizontal="center" vertical="center"/>
      <protection hidden="1"/>
    </xf>
    <xf numFmtId="0" fontId="2" fillId="10" borderId="42" xfId="0" applyFont="1" applyFill="1" applyBorder="1" applyAlignment="1" applyProtection="1">
      <alignment horizontal="center" vertical="center"/>
      <protection hidden="1"/>
    </xf>
    <xf numFmtId="0" fontId="2" fillId="10" borderId="8" xfId="0" applyFont="1" applyFill="1" applyBorder="1" applyAlignment="1" applyProtection="1">
      <alignment horizontal="center" vertical="center"/>
      <protection hidden="1"/>
    </xf>
    <xf numFmtId="10" fontId="1" fillId="3" borderId="15" xfId="1" applyNumberFormat="1" applyFont="1" applyFill="1" applyBorder="1" applyAlignment="1" applyProtection="1">
      <alignment horizontal="right" vertical="center"/>
      <protection hidden="1"/>
    </xf>
    <xf numFmtId="0" fontId="3" fillId="12" borderId="10" xfId="0" applyFont="1" applyFill="1" applyBorder="1" applyAlignment="1" applyProtection="1">
      <alignment vertical="center"/>
      <protection hidden="1"/>
    </xf>
    <xf numFmtId="0" fontId="2" fillId="12" borderId="19" xfId="0" applyFont="1" applyFill="1" applyBorder="1" applyAlignment="1" applyProtection="1">
      <alignment horizontal="center" vertical="center"/>
      <protection hidden="1"/>
    </xf>
    <xf numFmtId="10" fontId="1" fillId="3" borderId="11" xfId="1" applyNumberFormat="1" applyFont="1" applyFill="1" applyBorder="1" applyAlignment="1" applyProtection="1">
      <alignment horizontal="right" vertical="center"/>
      <protection hidden="1"/>
    </xf>
    <xf numFmtId="0" fontId="4" fillId="0" borderId="0" xfId="0" applyFont="1" applyProtection="1">
      <protection hidden="1"/>
    </xf>
    <xf numFmtId="0" fontId="1" fillId="3" borderId="38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14" borderId="39" xfId="0" applyFill="1" applyBorder="1" applyAlignment="1" applyProtection="1">
      <alignment horizontal="center" vertical="center"/>
      <protection hidden="1"/>
    </xf>
    <xf numFmtId="0" fontId="0" fillId="14" borderId="4" xfId="0" applyFill="1" applyBorder="1" applyAlignment="1" applyProtection="1">
      <alignment horizontal="center" vertical="center"/>
      <protection hidden="1"/>
    </xf>
    <xf numFmtId="0" fontId="15" fillId="15" borderId="4" xfId="0" applyFont="1" applyFill="1" applyBorder="1" applyAlignment="1" applyProtection="1">
      <alignment horizontal="center" vertical="center"/>
      <protection hidden="1"/>
    </xf>
    <xf numFmtId="0" fontId="3" fillId="15" borderId="4" xfId="0" applyFont="1" applyFill="1" applyBorder="1" applyAlignment="1" applyProtection="1">
      <alignment horizontal="center" vertical="center"/>
      <protection hidden="1"/>
    </xf>
    <xf numFmtId="0" fontId="3" fillId="10" borderId="4" xfId="0" applyFont="1" applyFill="1" applyBorder="1" applyAlignment="1" applyProtection="1">
      <alignment vertical="center" wrapText="1"/>
      <protection hidden="1"/>
    </xf>
    <xf numFmtId="0" fontId="3" fillId="10" borderId="18" xfId="0" applyFont="1" applyFill="1" applyBorder="1" applyAlignment="1" applyProtection="1">
      <alignment horizontal="center" vertical="center"/>
      <protection hidden="1"/>
    </xf>
    <xf numFmtId="10" fontId="1" fillId="3" borderId="58" xfId="1" applyNumberFormat="1" applyFont="1" applyFill="1" applyBorder="1" applyAlignment="1" applyProtection="1">
      <alignment horizontal="center" vertical="center"/>
      <protection hidden="1"/>
    </xf>
    <xf numFmtId="10" fontId="1" fillId="3" borderId="4" xfId="1" applyNumberFormat="1" applyFont="1" applyFill="1" applyBorder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165" fontId="14" fillId="2" borderId="0" xfId="0" applyNumberFormat="1" applyFont="1" applyFill="1" applyAlignment="1" applyProtection="1">
      <alignment horizontal="right" vertical="center"/>
      <protection hidden="1"/>
    </xf>
    <xf numFmtId="14" fontId="26" fillId="2" borderId="0" xfId="0" applyNumberFormat="1" applyFont="1" applyFill="1" applyBorder="1" applyAlignment="1" applyProtection="1">
      <alignment horizontal="center" vertical="center" wrapText="1"/>
      <protection hidden="1"/>
    </xf>
    <xf numFmtId="165" fontId="1" fillId="2" borderId="0" xfId="0" applyNumberFormat="1" applyFont="1" applyFill="1" applyBorder="1" applyAlignment="1" applyProtection="1">
      <alignment vertical="center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10" fontId="9" fillId="0" borderId="0" xfId="0" applyNumberFormat="1" applyFont="1" applyFill="1" applyBorder="1" applyAlignment="1" applyProtection="1">
      <alignment vertical="center"/>
      <protection hidden="1"/>
    </xf>
    <xf numFmtId="10" fontId="33" fillId="2" borderId="0" xfId="0" applyNumberFormat="1" applyFont="1" applyFill="1" applyBorder="1" applyAlignment="1" applyProtection="1">
      <alignment vertical="center"/>
      <protection hidden="1"/>
    </xf>
    <xf numFmtId="0" fontId="33" fillId="0" borderId="0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10" fontId="0" fillId="2" borderId="0" xfId="1" applyNumberFormat="1" applyFont="1" applyFill="1" applyBorder="1" applyAlignment="1" applyProtection="1">
      <alignment vertical="center"/>
      <protection hidden="1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165" fontId="1" fillId="2" borderId="0" xfId="1" applyNumberFormat="1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hidden="1"/>
    </xf>
    <xf numFmtId="9" fontId="0" fillId="2" borderId="0" xfId="1" applyFont="1" applyFill="1" applyBorder="1" applyAlignment="1" applyProtection="1">
      <alignment vertical="center"/>
      <protection hidden="1"/>
    </xf>
    <xf numFmtId="10" fontId="9" fillId="18" borderId="4" xfId="0" applyNumberFormat="1" applyFont="1" applyFill="1" applyBorder="1" applyAlignment="1" applyProtection="1">
      <alignment vertical="center"/>
      <protection hidden="1"/>
    </xf>
    <xf numFmtId="10" fontId="14" fillId="12" borderId="4" xfId="0" applyNumberFormat="1" applyFont="1" applyFill="1" applyBorder="1" applyAlignment="1" applyProtection="1">
      <alignment horizontal="center" vertical="center"/>
      <protection hidden="1"/>
    </xf>
    <xf numFmtId="165" fontId="14" fillId="13" borderId="4" xfId="0" applyNumberFormat="1" applyFont="1" applyFill="1" applyBorder="1" applyAlignment="1" applyProtection="1">
      <alignment horizontal="center" vertical="center"/>
      <protection hidden="1"/>
    </xf>
    <xf numFmtId="14" fontId="14" fillId="2" borderId="11" xfId="0" applyNumberFormat="1" applyFont="1" applyFill="1" applyBorder="1" applyAlignment="1" applyProtection="1">
      <alignment horizontal="center" vertical="center"/>
      <protection locked="0"/>
    </xf>
    <xf numFmtId="10" fontId="33" fillId="2" borderId="4" xfId="0" applyNumberFormat="1" applyFont="1" applyFill="1" applyBorder="1" applyAlignment="1" applyProtection="1">
      <alignment horizontal="right" vertical="center"/>
      <protection locked="0"/>
    </xf>
    <xf numFmtId="10" fontId="9" fillId="21" borderId="4" xfId="0" applyNumberFormat="1" applyFont="1" applyFill="1" applyBorder="1" applyProtection="1">
      <protection hidden="1"/>
    </xf>
    <xf numFmtId="10" fontId="9" fillId="18" borderId="4" xfId="1" applyNumberFormat="1" applyFont="1" applyFill="1" applyBorder="1" applyProtection="1">
      <protection hidden="1"/>
    </xf>
    <xf numFmtId="0" fontId="35" fillId="3" borderId="40" xfId="0" applyFont="1" applyFill="1" applyBorder="1" applyAlignment="1" applyProtection="1">
      <alignment horizontal="center" vertical="center"/>
      <protection hidden="1"/>
    </xf>
    <xf numFmtId="165" fontId="35" fillId="5" borderId="25" xfId="0" applyNumberFormat="1" applyFont="1" applyFill="1" applyBorder="1" applyAlignment="1" applyProtection="1">
      <alignment horizontal="center" vertical="center" wrapText="1"/>
      <protection hidden="1"/>
    </xf>
    <xf numFmtId="165" fontId="35" fillId="3" borderId="36" xfId="0" applyNumberFormat="1" applyFont="1" applyFill="1" applyBorder="1" applyAlignment="1" applyProtection="1">
      <alignment horizontal="center" vertical="center" wrapText="1"/>
      <protection hidden="1"/>
    </xf>
    <xf numFmtId="10" fontId="35" fillId="3" borderId="64" xfId="1" applyNumberFormat="1" applyFont="1" applyFill="1" applyBorder="1" applyAlignment="1" applyProtection="1">
      <alignment horizontal="center" vertical="center" wrapText="1"/>
      <protection hidden="1"/>
    </xf>
    <xf numFmtId="9" fontId="35" fillId="6" borderId="25" xfId="1" applyFont="1" applyFill="1" applyBorder="1" applyAlignment="1" applyProtection="1">
      <alignment horizontal="center" vertical="center" wrapText="1"/>
      <protection hidden="1"/>
    </xf>
    <xf numFmtId="0" fontId="3" fillId="8" borderId="25" xfId="0" applyFont="1" applyFill="1" applyBorder="1" applyAlignment="1" applyProtection="1">
      <alignment horizontal="center" vertical="center"/>
      <protection hidden="1"/>
    </xf>
    <xf numFmtId="1" fontId="37" fillId="3" borderId="13" xfId="0" applyNumberFormat="1" applyFont="1" applyFill="1" applyBorder="1" applyAlignment="1" applyProtection="1">
      <alignment horizontal="center" vertical="center"/>
      <protection hidden="1"/>
    </xf>
    <xf numFmtId="1" fontId="37" fillId="5" borderId="4" xfId="0" applyNumberFormat="1" applyFont="1" applyFill="1" applyBorder="1" applyAlignment="1" applyProtection="1">
      <alignment horizontal="center" vertical="center" wrapText="1"/>
      <protection hidden="1"/>
    </xf>
    <xf numFmtId="1" fontId="37" fillId="3" borderId="17" xfId="0" applyNumberFormat="1" applyFont="1" applyFill="1" applyBorder="1" applyAlignment="1" applyProtection="1">
      <alignment horizontal="center" vertical="center" wrapText="1"/>
      <protection hidden="1"/>
    </xf>
    <xf numFmtId="1" fontId="37" fillId="3" borderId="20" xfId="1" applyNumberFormat="1" applyFont="1" applyFill="1" applyBorder="1" applyAlignment="1" applyProtection="1">
      <alignment horizontal="center" vertical="center" wrapText="1"/>
      <protection hidden="1"/>
    </xf>
    <xf numFmtId="1" fontId="37" fillId="6" borderId="4" xfId="1" applyNumberFormat="1" applyFont="1" applyFill="1" applyBorder="1" applyAlignment="1" applyProtection="1">
      <alignment horizontal="center" vertical="center" wrapText="1"/>
      <protection hidden="1"/>
    </xf>
    <xf numFmtId="0" fontId="38" fillId="2" borderId="0" xfId="0" applyFont="1" applyFill="1" applyAlignment="1" applyProtection="1">
      <alignment horizontal="center" vertical="center" wrapText="1"/>
      <protection hidden="1"/>
    </xf>
    <xf numFmtId="0" fontId="39" fillId="0" borderId="0" xfId="0" applyFont="1" applyProtection="1">
      <protection hidden="1"/>
    </xf>
    <xf numFmtId="0" fontId="39" fillId="8" borderId="25" xfId="0" applyFont="1" applyFill="1" applyBorder="1" applyAlignment="1" applyProtection="1">
      <alignment horizontal="center" vertical="center"/>
      <protection hidden="1"/>
    </xf>
    <xf numFmtId="0" fontId="39" fillId="8" borderId="36" xfId="0" applyFont="1" applyFill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14" fontId="24" fillId="8" borderId="67" xfId="0" applyNumberFormat="1" applyFont="1" applyFill="1" applyBorder="1" applyAlignment="1" applyProtection="1">
      <alignment horizontal="center" vertical="center" wrapText="1"/>
      <protection hidden="1"/>
    </xf>
    <xf numFmtId="14" fontId="24" fillId="8" borderId="44" xfId="0" applyNumberFormat="1" applyFont="1" applyFill="1" applyBorder="1" applyAlignment="1" applyProtection="1">
      <alignment horizontal="center" vertical="center" wrapText="1"/>
      <protection hidden="1"/>
    </xf>
    <xf numFmtId="14" fontId="25" fillId="8" borderId="44" xfId="0" applyNumberFormat="1" applyFont="1" applyFill="1" applyBorder="1" applyAlignment="1" applyProtection="1">
      <alignment horizontal="center" vertical="center" wrapText="1"/>
      <protection hidden="1"/>
    </xf>
    <xf numFmtId="14" fontId="26" fillId="20" borderId="44" xfId="0" applyNumberFormat="1" applyFont="1" applyFill="1" applyBorder="1" applyAlignment="1" applyProtection="1">
      <alignment horizontal="center" vertical="center" wrapText="1"/>
      <protection hidden="1"/>
    </xf>
    <xf numFmtId="14" fontId="25" fillId="20" borderId="44" xfId="0" applyNumberFormat="1" applyFont="1" applyFill="1" applyBorder="1" applyAlignment="1" applyProtection="1">
      <alignment horizontal="center" vertical="center" wrapText="1"/>
      <protection hidden="1"/>
    </xf>
    <xf numFmtId="165" fontId="0" fillId="8" borderId="24" xfId="0" applyNumberFormat="1" applyFill="1" applyBorder="1" applyProtection="1">
      <protection hidden="1"/>
    </xf>
    <xf numFmtId="165" fontId="0" fillId="8" borderId="9" xfId="0" applyNumberFormat="1" applyFill="1" applyBorder="1" applyProtection="1">
      <protection hidden="1"/>
    </xf>
    <xf numFmtId="165" fontId="1" fillId="20" borderId="9" xfId="0" applyNumberFormat="1" applyFont="1" applyFill="1" applyBorder="1" applyProtection="1">
      <protection hidden="1"/>
    </xf>
    <xf numFmtId="165" fontId="0" fillId="20" borderId="9" xfId="0" applyNumberFormat="1" applyFill="1" applyBorder="1" applyAlignment="1" applyProtection="1">
      <alignment vertical="center"/>
      <protection hidden="1"/>
    </xf>
    <xf numFmtId="165" fontId="1" fillId="20" borderId="9" xfId="0" applyNumberFormat="1" applyFont="1" applyFill="1" applyBorder="1" applyAlignment="1" applyProtection="1">
      <alignment vertical="center"/>
      <protection hidden="1"/>
    </xf>
    <xf numFmtId="165" fontId="1" fillId="20" borderId="10" xfId="0" applyNumberFormat="1" applyFont="1" applyFill="1" applyBorder="1" applyAlignment="1" applyProtection="1">
      <alignment vertical="center"/>
      <protection hidden="1"/>
    </xf>
    <xf numFmtId="14" fontId="25" fillId="20" borderId="46" xfId="0" applyNumberFormat="1" applyFont="1" applyFill="1" applyBorder="1" applyAlignment="1" applyProtection="1">
      <alignment horizontal="center" vertical="center" wrapText="1"/>
      <protection hidden="1"/>
    </xf>
    <xf numFmtId="0" fontId="1" fillId="8" borderId="13" xfId="0" applyFont="1" applyFill="1" applyBorder="1" applyAlignment="1" applyProtection="1">
      <alignment horizontal="center" vertical="center"/>
      <protection hidden="1"/>
    </xf>
    <xf numFmtId="0" fontId="1" fillId="8" borderId="14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Border="1" applyAlignment="1" applyProtection="1">
      <alignment horizontal="center" vertical="center" wrapText="1"/>
      <protection hidden="1"/>
    </xf>
    <xf numFmtId="0" fontId="6" fillId="19" borderId="25" xfId="0" applyFont="1" applyFill="1" applyBorder="1" applyAlignment="1" applyProtection="1">
      <alignment horizontal="center" vertical="center" wrapText="1"/>
      <protection hidden="1"/>
    </xf>
    <xf numFmtId="0" fontId="6" fillId="19" borderId="58" xfId="0" applyFont="1" applyFill="1" applyBorder="1" applyAlignment="1" applyProtection="1">
      <alignment horizontal="center" vertical="center" wrapText="1"/>
      <protection hidden="1"/>
    </xf>
    <xf numFmtId="0" fontId="6" fillId="19" borderId="11" xfId="0" applyFont="1" applyFill="1" applyBorder="1" applyAlignment="1" applyProtection="1">
      <alignment horizontal="center" vertical="center" wrapText="1"/>
      <protection hidden="1"/>
    </xf>
    <xf numFmtId="0" fontId="22" fillId="7" borderId="13" xfId="0" applyFont="1" applyFill="1" applyBorder="1" applyAlignment="1" applyProtection="1">
      <alignment horizontal="center" vertical="center" wrapText="1"/>
      <protection hidden="1"/>
    </xf>
    <xf numFmtId="0" fontId="22" fillId="7" borderId="20" xfId="0" applyFont="1" applyFill="1" applyBorder="1" applyAlignment="1" applyProtection="1">
      <alignment horizontal="center" vertical="center"/>
      <protection hidden="1"/>
    </xf>
    <xf numFmtId="0" fontId="22" fillId="7" borderId="14" xfId="0" applyFont="1" applyFill="1" applyBorder="1" applyAlignment="1" applyProtection="1">
      <alignment horizontal="center" vertical="center"/>
      <protection hidden="1"/>
    </xf>
    <xf numFmtId="10" fontId="1" fillId="7" borderId="24" xfId="1" applyNumberFormat="1" applyFont="1" applyFill="1" applyBorder="1" applyAlignment="1" applyProtection="1">
      <alignment horizontal="right" vertical="center"/>
      <protection hidden="1"/>
    </xf>
    <xf numFmtId="10" fontId="1" fillId="7" borderId="10" xfId="1" applyNumberFormat="1" applyFont="1" applyFill="1" applyBorder="1" applyAlignment="1" applyProtection="1">
      <alignment horizontal="right" vertical="center"/>
      <protection hidden="1"/>
    </xf>
    <xf numFmtId="9" fontId="0" fillId="2" borderId="0" xfId="1" applyFont="1" applyFill="1" applyBorder="1" applyAlignment="1" applyProtection="1">
      <alignment horizontal="right" vertical="center"/>
      <protection hidden="1"/>
    </xf>
    <xf numFmtId="10" fontId="9" fillId="19" borderId="13" xfId="1" applyNumberFormat="1" applyFont="1" applyFill="1" applyBorder="1" applyAlignment="1" applyProtection="1">
      <alignment horizontal="center" vertical="center" wrapText="1"/>
      <protection hidden="1"/>
    </xf>
    <xf numFmtId="10" fontId="9" fillId="19" borderId="20" xfId="1" applyNumberFormat="1" applyFont="1" applyFill="1" applyBorder="1" applyAlignment="1" applyProtection="1">
      <alignment horizontal="center" vertical="center" wrapText="1"/>
      <protection hidden="1"/>
    </xf>
    <xf numFmtId="10" fontId="9" fillId="19" borderId="14" xfId="1" applyNumberFormat="1" applyFont="1" applyFill="1" applyBorder="1" applyAlignment="1" applyProtection="1">
      <alignment horizontal="center" vertical="center" wrapText="1"/>
      <protection hidden="1"/>
    </xf>
    <xf numFmtId="10" fontId="33" fillId="12" borderId="25" xfId="0" applyNumberFormat="1" applyFont="1" applyFill="1" applyBorder="1" applyAlignment="1" applyProtection="1">
      <alignment horizontal="center" vertical="center"/>
      <protection hidden="1"/>
    </xf>
    <xf numFmtId="10" fontId="33" fillId="12" borderId="11" xfId="0" applyNumberFormat="1" applyFont="1" applyFill="1" applyBorder="1" applyAlignment="1" applyProtection="1">
      <alignment horizontal="center" vertical="center"/>
      <protection hidden="1"/>
    </xf>
    <xf numFmtId="0" fontId="32" fillId="12" borderId="65" xfId="0" applyFont="1" applyFill="1" applyBorder="1" applyAlignment="1" applyProtection="1">
      <alignment horizontal="left" vertical="center" wrapText="1"/>
      <protection hidden="1"/>
    </xf>
    <xf numFmtId="0" fontId="32" fillId="12" borderId="0" xfId="0" applyFont="1" applyFill="1" applyBorder="1" applyAlignment="1" applyProtection="1">
      <alignment horizontal="left" vertical="center" wrapText="1"/>
      <protection hidden="1"/>
    </xf>
    <xf numFmtId="0" fontId="32" fillId="12" borderId="66" xfId="0" applyFont="1" applyFill="1" applyBorder="1" applyAlignment="1" applyProtection="1">
      <alignment horizontal="left" vertical="center" wrapText="1"/>
      <protection hidden="1"/>
    </xf>
    <xf numFmtId="0" fontId="32" fillId="12" borderId="39" xfId="0" applyFont="1" applyFill="1" applyBorder="1" applyAlignment="1" applyProtection="1">
      <alignment horizontal="left" vertical="center" wrapText="1"/>
      <protection hidden="1"/>
    </xf>
    <xf numFmtId="0" fontId="32" fillId="12" borderId="38" xfId="0" applyFont="1" applyFill="1" applyBorder="1" applyAlignment="1" applyProtection="1">
      <alignment horizontal="left" vertical="center" wrapText="1"/>
      <protection hidden="1"/>
    </xf>
    <xf numFmtId="0" fontId="32" fillId="12" borderId="23" xfId="0" applyFont="1" applyFill="1" applyBorder="1" applyAlignment="1" applyProtection="1">
      <alignment horizontal="left" vertical="center" wrapText="1"/>
      <protection hidden="1"/>
    </xf>
    <xf numFmtId="9" fontId="6" fillId="2" borderId="0" xfId="1" applyFont="1" applyFill="1" applyBorder="1" applyAlignment="1" applyProtection="1">
      <alignment horizontal="center" vertical="center" wrapText="1"/>
      <protection hidden="1"/>
    </xf>
    <xf numFmtId="0" fontId="1" fillId="3" borderId="13" xfId="0" applyFont="1" applyFill="1" applyBorder="1" applyAlignment="1" applyProtection="1">
      <alignment horizontal="center" vertical="center"/>
      <protection hidden="1"/>
    </xf>
    <xf numFmtId="0" fontId="1" fillId="3" borderId="20" xfId="0" applyFont="1" applyFill="1" applyBorder="1" applyAlignment="1" applyProtection="1">
      <alignment horizontal="center" vertical="center"/>
      <protection hidden="1"/>
    </xf>
    <xf numFmtId="0" fontId="1" fillId="3" borderId="14" xfId="0" applyFont="1" applyFill="1" applyBorder="1" applyAlignment="1" applyProtection="1">
      <alignment horizontal="center" vertical="center"/>
      <protection hidden="1"/>
    </xf>
    <xf numFmtId="10" fontId="1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1" fillId="3" borderId="40" xfId="0" applyFont="1" applyFill="1" applyBorder="1" applyAlignment="1" applyProtection="1">
      <alignment horizontal="center" vertical="center" wrapText="1"/>
      <protection hidden="1"/>
    </xf>
    <xf numFmtId="0" fontId="1" fillId="3" borderId="39" xfId="0" applyFont="1" applyFill="1" applyBorder="1" applyAlignment="1" applyProtection="1">
      <alignment horizontal="center" vertical="center" wrapText="1"/>
      <protection hidden="1"/>
    </xf>
    <xf numFmtId="10" fontId="1" fillId="8" borderId="40" xfId="1" applyNumberFormat="1" applyFont="1" applyFill="1" applyBorder="1" applyAlignment="1" applyProtection="1">
      <alignment horizontal="center" vertical="center" wrapText="1"/>
      <protection hidden="1"/>
    </xf>
    <xf numFmtId="10" fontId="1" fillId="8" borderId="36" xfId="1" applyNumberFormat="1" applyFont="1" applyFill="1" applyBorder="1" applyAlignment="1" applyProtection="1">
      <alignment horizontal="center" vertical="center" wrapText="1"/>
      <protection hidden="1"/>
    </xf>
    <xf numFmtId="10" fontId="1" fillId="8" borderId="39" xfId="1" applyNumberFormat="1" applyFont="1" applyFill="1" applyBorder="1" applyAlignment="1" applyProtection="1">
      <alignment horizontal="center" vertical="center" wrapText="1"/>
      <protection hidden="1"/>
    </xf>
    <xf numFmtId="10" fontId="1" fillId="8" borderId="23" xfId="1" applyNumberFormat="1" applyFont="1" applyFill="1" applyBorder="1" applyAlignment="1" applyProtection="1">
      <alignment horizontal="center" vertical="center" wrapText="1"/>
      <protection hidden="1"/>
    </xf>
    <xf numFmtId="0" fontId="9" fillId="4" borderId="0" xfId="0" applyFont="1" applyFill="1" applyAlignment="1" applyProtection="1">
      <alignment horizontal="left" vertical="justify" wrapText="1"/>
      <protection hidden="1"/>
    </xf>
    <xf numFmtId="0" fontId="0" fillId="0" borderId="0" xfId="0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" fillId="13" borderId="13" xfId="0" applyFont="1" applyFill="1" applyBorder="1" applyAlignment="1" applyProtection="1">
      <alignment horizontal="center" vertical="center"/>
      <protection hidden="1"/>
    </xf>
    <xf numFmtId="0" fontId="1" fillId="13" borderId="20" xfId="0" applyFont="1" applyFill="1" applyBorder="1" applyAlignment="1" applyProtection="1">
      <alignment horizontal="center" vertical="center"/>
      <protection hidden="1"/>
    </xf>
    <xf numFmtId="0" fontId="1" fillId="13" borderId="14" xfId="0" applyFont="1" applyFill="1" applyBorder="1" applyAlignment="1" applyProtection="1">
      <alignment horizontal="center" vertical="center"/>
      <protection hidden="1"/>
    </xf>
    <xf numFmtId="0" fontId="9" fillId="18" borderId="13" xfId="0" applyFont="1" applyFill="1" applyBorder="1" applyAlignment="1" applyProtection="1">
      <alignment horizontal="center" vertical="center"/>
      <protection hidden="1"/>
    </xf>
    <xf numFmtId="0" fontId="9" fillId="18" borderId="20" xfId="0" applyFont="1" applyFill="1" applyBorder="1" applyAlignment="1" applyProtection="1">
      <alignment horizontal="center" vertical="center"/>
      <protection hidden="1"/>
    </xf>
    <xf numFmtId="0" fontId="9" fillId="18" borderId="14" xfId="0" applyFont="1" applyFill="1" applyBorder="1" applyAlignment="1" applyProtection="1">
      <alignment horizontal="center" vertical="center"/>
      <protection hidden="1"/>
    </xf>
    <xf numFmtId="0" fontId="33" fillId="3" borderId="13" xfId="0" applyFont="1" applyFill="1" applyBorder="1" applyAlignment="1" applyProtection="1">
      <alignment horizontal="center" vertical="center" wrapText="1"/>
      <protection hidden="1"/>
    </xf>
    <xf numFmtId="0" fontId="33" fillId="3" borderId="20" xfId="0" applyFont="1" applyFill="1" applyBorder="1" applyAlignment="1" applyProtection="1">
      <alignment horizontal="center" vertical="center" wrapText="1"/>
      <protection hidden="1"/>
    </xf>
    <xf numFmtId="0" fontId="33" fillId="3" borderId="14" xfId="0" applyFont="1" applyFill="1" applyBorder="1" applyAlignment="1" applyProtection="1">
      <alignment horizontal="center" vertical="center" wrapText="1"/>
      <protection hidden="1"/>
    </xf>
    <xf numFmtId="165" fontId="14" fillId="2" borderId="13" xfId="1" applyNumberFormat="1" applyFont="1" applyFill="1" applyBorder="1" applyAlignment="1" applyProtection="1">
      <alignment horizontal="center" vertical="center"/>
      <protection locked="0"/>
    </xf>
    <xf numFmtId="165" fontId="14" fillId="2" borderId="14" xfId="1" applyNumberFormat="1" applyFont="1" applyFill="1" applyBorder="1" applyAlignment="1" applyProtection="1">
      <alignment horizontal="center" vertical="center"/>
      <protection locked="0"/>
    </xf>
    <xf numFmtId="0" fontId="1" fillId="12" borderId="25" xfId="0" applyFont="1" applyFill="1" applyBorder="1" applyAlignment="1" applyProtection="1">
      <alignment horizontal="center" vertical="center" wrapText="1"/>
      <protection hidden="1"/>
    </xf>
    <xf numFmtId="0" fontId="1" fillId="12" borderId="11" xfId="0" applyFont="1" applyFill="1" applyBorder="1" applyAlignment="1" applyProtection="1">
      <alignment horizontal="center" vertical="center" wrapText="1"/>
      <protection hidden="1"/>
    </xf>
    <xf numFmtId="0" fontId="20" fillId="12" borderId="40" xfId="0" applyFont="1" applyFill="1" applyBorder="1" applyAlignment="1" applyProtection="1">
      <alignment horizontal="left" vertical="center" wrapText="1"/>
      <protection hidden="1"/>
    </xf>
    <xf numFmtId="0" fontId="20" fillId="12" borderId="64" xfId="0" applyFont="1" applyFill="1" applyBorder="1" applyAlignment="1" applyProtection="1">
      <alignment horizontal="left" vertical="center" wrapText="1"/>
      <protection hidden="1"/>
    </xf>
    <xf numFmtId="0" fontId="20" fillId="12" borderId="36" xfId="0" applyFont="1" applyFill="1" applyBorder="1" applyAlignment="1" applyProtection="1">
      <alignment horizontal="left" vertical="center" wrapText="1"/>
      <protection hidden="1"/>
    </xf>
    <xf numFmtId="0" fontId="20" fillId="12" borderId="39" xfId="0" applyFont="1" applyFill="1" applyBorder="1" applyAlignment="1" applyProtection="1">
      <alignment horizontal="left" vertical="center" wrapText="1"/>
      <protection hidden="1"/>
    </xf>
    <xf numFmtId="0" fontId="20" fillId="12" borderId="38" xfId="0" applyFont="1" applyFill="1" applyBorder="1" applyAlignment="1" applyProtection="1">
      <alignment horizontal="left" vertical="center" wrapText="1"/>
      <protection hidden="1"/>
    </xf>
    <xf numFmtId="0" fontId="20" fillId="12" borderId="23" xfId="0" applyFont="1" applyFill="1" applyBorder="1" applyAlignment="1" applyProtection="1">
      <alignment horizontal="left" vertical="center" wrapText="1"/>
      <protection hidden="1"/>
    </xf>
    <xf numFmtId="0" fontId="1" fillId="12" borderId="13" xfId="0" applyFont="1" applyFill="1" applyBorder="1" applyAlignment="1" applyProtection="1">
      <alignment horizontal="center" vertical="center"/>
      <protection hidden="1"/>
    </xf>
    <xf numFmtId="0" fontId="1" fillId="12" borderId="14" xfId="0" applyFont="1" applyFill="1" applyBorder="1" applyAlignment="1" applyProtection="1">
      <alignment horizontal="center" vertical="center"/>
      <protection hidden="1"/>
    </xf>
    <xf numFmtId="0" fontId="1" fillId="5" borderId="13" xfId="0" applyFont="1" applyFill="1" applyBorder="1" applyAlignment="1" applyProtection="1">
      <alignment horizontal="center" vertical="center"/>
      <protection hidden="1"/>
    </xf>
    <xf numFmtId="0" fontId="1" fillId="5" borderId="14" xfId="0" applyFont="1" applyFill="1" applyBorder="1" applyAlignment="1" applyProtection="1">
      <alignment horizontal="center" vertical="center"/>
      <protection hidden="1"/>
    </xf>
    <xf numFmtId="0" fontId="1" fillId="14" borderId="13" xfId="0" applyFont="1" applyFill="1" applyBorder="1" applyAlignment="1" applyProtection="1">
      <alignment horizontal="right" vertical="center"/>
      <protection hidden="1"/>
    </xf>
    <xf numFmtId="0" fontId="1" fillId="14" borderId="14" xfId="0" applyFont="1" applyFill="1" applyBorder="1" applyAlignment="1" applyProtection="1">
      <alignment horizontal="right" vertical="center"/>
      <protection hidden="1"/>
    </xf>
    <xf numFmtId="0" fontId="0" fillId="8" borderId="20" xfId="0" applyFill="1" applyBorder="1" applyAlignment="1" applyProtection="1">
      <alignment horizontal="center" vertical="center"/>
      <protection hidden="1"/>
    </xf>
    <xf numFmtId="0" fontId="0" fillId="8" borderId="14" xfId="0" applyFill="1" applyBorder="1" applyAlignment="1" applyProtection="1">
      <alignment horizontal="center" vertical="center"/>
      <protection hidden="1"/>
    </xf>
    <xf numFmtId="0" fontId="0" fillId="12" borderId="20" xfId="0" applyFill="1" applyBorder="1" applyAlignment="1" applyProtection="1">
      <alignment horizontal="center" vertical="center"/>
      <protection hidden="1"/>
    </xf>
    <xf numFmtId="0" fontId="0" fillId="12" borderId="14" xfId="0" applyFill="1" applyBorder="1" applyAlignment="1" applyProtection="1">
      <alignment horizontal="center" vertical="center"/>
      <protection hidden="1"/>
    </xf>
    <xf numFmtId="0" fontId="0" fillId="5" borderId="20" xfId="0" applyFill="1" applyBorder="1" applyAlignment="1" applyProtection="1">
      <alignment horizontal="center" vertical="center"/>
      <protection hidden="1"/>
    </xf>
    <xf numFmtId="0" fontId="0" fillId="5" borderId="14" xfId="0" applyFill="1" applyBorder="1" applyAlignment="1" applyProtection="1">
      <alignment horizontal="center" vertical="center"/>
      <protection hidden="1"/>
    </xf>
    <xf numFmtId="0" fontId="1" fillId="14" borderId="13" xfId="0" applyFont="1" applyFill="1" applyBorder="1" applyAlignment="1" applyProtection="1">
      <alignment horizontal="center" vertical="center" wrapText="1"/>
      <protection hidden="1"/>
    </xf>
    <xf numFmtId="0" fontId="0" fillId="14" borderId="20" xfId="0" applyFill="1" applyBorder="1" applyAlignment="1" applyProtection="1">
      <alignment horizontal="center" vertical="center" wrapText="1"/>
      <protection hidden="1"/>
    </xf>
    <xf numFmtId="0" fontId="0" fillId="14" borderId="14" xfId="0" applyFill="1" applyBorder="1" applyAlignment="1" applyProtection="1">
      <alignment horizontal="center" vertical="center" wrapText="1"/>
      <protection hidden="1"/>
    </xf>
    <xf numFmtId="0" fontId="10" fillId="0" borderId="38" xfId="0" applyFont="1" applyBorder="1" applyAlignment="1" applyProtection="1">
      <alignment horizontal="center" vertical="center"/>
      <protection hidden="1"/>
    </xf>
    <xf numFmtId="0" fontId="1" fillId="3" borderId="39" xfId="0" applyFont="1" applyFill="1" applyBorder="1" applyAlignment="1" applyProtection="1">
      <alignment horizontal="center" vertical="center"/>
      <protection hidden="1"/>
    </xf>
    <xf numFmtId="0" fontId="1" fillId="3" borderId="38" xfId="0" applyFont="1" applyFill="1" applyBorder="1" applyAlignment="1" applyProtection="1">
      <alignment horizontal="center" vertical="center"/>
      <protection hidden="1"/>
    </xf>
    <xf numFmtId="0" fontId="1" fillId="14" borderId="13" xfId="0" applyFont="1" applyFill="1" applyBorder="1" applyAlignment="1" applyProtection="1">
      <alignment horizontal="left" vertical="center"/>
      <protection hidden="1"/>
    </xf>
    <xf numFmtId="0" fontId="1" fillId="14" borderId="20" xfId="0" applyFont="1" applyFill="1" applyBorder="1" applyAlignment="1" applyProtection="1">
      <alignment horizontal="left" vertical="center"/>
      <protection hidden="1"/>
    </xf>
    <xf numFmtId="0" fontId="1" fillId="14" borderId="14" xfId="0" applyFont="1" applyFill="1" applyBorder="1" applyAlignment="1" applyProtection="1">
      <alignment horizontal="left" vertical="center"/>
      <protection hidden="1"/>
    </xf>
    <xf numFmtId="0" fontId="3" fillId="11" borderId="13" xfId="0" applyFont="1" applyFill="1" applyBorder="1" applyAlignment="1" applyProtection="1">
      <alignment horizontal="left" vertical="center" wrapText="1"/>
      <protection hidden="1"/>
    </xf>
    <xf numFmtId="0" fontId="3" fillId="11" borderId="20" xfId="0" applyFont="1" applyFill="1" applyBorder="1" applyAlignment="1" applyProtection="1">
      <alignment horizontal="left" vertical="center" wrapText="1"/>
      <protection hidden="1"/>
    </xf>
    <xf numFmtId="0" fontId="3" fillId="11" borderId="14" xfId="0" applyFont="1" applyFill="1" applyBorder="1" applyAlignment="1" applyProtection="1">
      <alignment horizontal="left" vertical="center" wrapText="1"/>
      <protection hidden="1"/>
    </xf>
    <xf numFmtId="165" fontId="3" fillId="2" borderId="0" xfId="0" applyNumberFormat="1" applyFont="1" applyFill="1" applyAlignment="1" applyProtection="1">
      <alignment horizontal="center" vertical="center"/>
      <protection hidden="1"/>
    </xf>
    <xf numFmtId="0" fontId="10" fillId="0" borderId="38" xfId="0" applyFont="1" applyBorder="1" applyAlignment="1" applyProtection="1">
      <alignment horizontal="center" vertical="top"/>
      <protection hidden="1"/>
    </xf>
    <xf numFmtId="0" fontId="9" fillId="4" borderId="0" xfId="0" applyFont="1" applyFill="1" applyAlignment="1" applyProtection="1">
      <alignment horizontal="justify" vertical="justify" wrapText="1"/>
      <protection hidden="1"/>
    </xf>
    <xf numFmtId="0" fontId="2" fillId="2" borderId="0" xfId="0" applyFont="1" applyFill="1" applyAlignment="1" applyProtection="1">
      <alignment horizontal="left" vertical="center" wrapText="1"/>
      <protection hidden="1"/>
    </xf>
    <xf numFmtId="0" fontId="2" fillId="2" borderId="0" xfId="0" applyFont="1" applyFill="1" applyAlignment="1" applyProtection="1">
      <alignment horizontal="left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1" fillId="3" borderId="13" xfId="0" applyFont="1" applyFill="1" applyBorder="1" applyAlignment="1" applyProtection="1">
      <alignment horizontal="left" vertical="center"/>
      <protection hidden="1"/>
    </xf>
    <xf numFmtId="0" fontId="1" fillId="3" borderId="20" xfId="0" applyFont="1" applyFill="1" applyBorder="1" applyAlignment="1" applyProtection="1">
      <alignment horizontal="left" vertical="center"/>
      <protection hidden="1"/>
    </xf>
    <xf numFmtId="0" fontId="1" fillId="3" borderId="14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18" fillId="18" borderId="13" xfId="0" applyFont="1" applyFill="1" applyBorder="1" applyAlignment="1" applyProtection="1">
      <alignment horizontal="left" vertical="center"/>
      <protection hidden="1"/>
    </xf>
    <xf numFmtId="0" fontId="18" fillId="18" borderId="20" xfId="0" applyFont="1" applyFill="1" applyBorder="1" applyAlignment="1" applyProtection="1">
      <alignment horizontal="left" vertical="center"/>
      <protection hidden="1"/>
    </xf>
    <xf numFmtId="0" fontId="19" fillId="8" borderId="41" xfId="0" applyFont="1" applyFill="1" applyBorder="1" applyAlignment="1" applyProtection="1">
      <alignment horizontal="left" vertical="center"/>
      <protection hidden="1"/>
    </xf>
    <xf numFmtId="0" fontId="19" fillId="8" borderId="42" xfId="0" applyFont="1" applyFill="1" applyBorder="1" applyAlignment="1" applyProtection="1">
      <alignment horizontal="left" vertical="center"/>
      <protection hidden="1"/>
    </xf>
    <xf numFmtId="0" fontId="19" fillId="8" borderId="8" xfId="0" applyFont="1" applyFill="1" applyBorder="1" applyAlignment="1" applyProtection="1">
      <alignment horizontal="left" vertical="center"/>
      <protection hidden="1"/>
    </xf>
    <xf numFmtId="0" fontId="19" fillId="8" borderId="48" xfId="0" applyFont="1" applyFill="1" applyBorder="1" applyAlignment="1" applyProtection="1">
      <alignment horizontal="left" vertical="center"/>
      <protection hidden="1"/>
    </xf>
    <xf numFmtId="0" fontId="19" fillId="8" borderId="21" xfId="0" applyFont="1" applyFill="1" applyBorder="1" applyAlignment="1" applyProtection="1">
      <alignment horizontal="left" vertical="center"/>
      <protection hidden="1"/>
    </xf>
    <xf numFmtId="0" fontId="19" fillId="8" borderId="26" xfId="0" applyFont="1" applyFill="1" applyBorder="1" applyAlignment="1" applyProtection="1">
      <alignment horizontal="left" vertical="center"/>
      <protection hidden="1"/>
    </xf>
    <xf numFmtId="0" fontId="20" fillId="4" borderId="5" xfId="0" applyFont="1" applyFill="1" applyBorder="1" applyAlignment="1" applyProtection="1">
      <alignment horizontal="left" vertical="center"/>
      <protection hidden="1"/>
    </xf>
    <xf numFmtId="0" fontId="20" fillId="4" borderId="6" xfId="0" applyFont="1" applyFill="1" applyBorder="1" applyAlignment="1" applyProtection="1">
      <alignment horizontal="left" vertical="center"/>
      <protection hidden="1"/>
    </xf>
    <xf numFmtId="0" fontId="20" fillId="4" borderId="16" xfId="0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9" borderId="13" xfId="0" applyFont="1" applyFill="1" applyBorder="1" applyAlignment="1" applyProtection="1">
      <alignment horizontal="center" vertical="center" wrapText="1"/>
      <protection hidden="1"/>
    </xf>
    <xf numFmtId="0" fontId="6" fillId="9" borderId="14" xfId="0" applyFont="1" applyFill="1" applyBorder="1" applyAlignment="1" applyProtection="1">
      <alignment horizontal="center" vertical="center" wrapText="1"/>
      <protection hidden="1"/>
    </xf>
    <xf numFmtId="0" fontId="1" fillId="8" borderId="40" xfId="0" applyFont="1" applyFill="1" applyBorder="1" applyAlignment="1" applyProtection="1">
      <alignment horizontal="left" vertical="center"/>
      <protection hidden="1"/>
    </xf>
    <xf numFmtId="0" fontId="1" fillId="8" borderId="36" xfId="0" applyFont="1" applyFill="1" applyBorder="1" applyAlignment="1" applyProtection="1">
      <alignment horizontal="left" vertical="center"/>
      <protection hidden="1"/>
    </xf>
    <xf numFmtId="0" fontId="1" fillId="14" borderId="13" xfId="0" applyFont="1" applyFill="1" applyBorder="1" applyAlignment="1" applyProtection="1">
      <alignment horizontal="left" vertical="center" wrapText="1"/>
      <protection hidden="1"/>
    </xf>
    <xf numFmtId="0" fontId="13" fillId="14" borderId="13" xfId="0" applyFont="1" applyFill="1" applyBorder="1" applyAlignment="1" applyProtection="1">
      <alignment horizontal="right" vertical="center"/>
      <protection hidden="1"/>
    </xf>
    <xf numFmtId="0" fontId="13" fillId="14" borderId="20" xfId="0" applyFont="1" applyFill="1" applyBorder="1" applyAlignment="1" applyProtection="1">
      <alignment horizontal="right" vertical="center"/>
      <protection hidden="1"/>
    </xf>
    <xf numFmtId="0" fontId="17" fillId="0" borderId="38" xfId="0" applyFont="1" applyBorder="1" applyAlignment="1" applyProtection="1">
      <alignment horizontal="center" vertical="center"/>
      <protection hidden="1"/>
    </xf>
    <xf numFmtId="0" fontId="3" fillId="3" borderId="13" xfId="0" applyFont="1" applyFill="1" applyBorder="1" applyAlignment="1" applyProtection="1">
      <alignment horizontal="left" vertical="center"/>
      <protection hidden="1"/>
    </xf>
    <xf numFmtId="0" fontId="3" fillId="3" borderId="20" xfId="0" applyFont="1" applyFill="1" applyBorder="1" applyAlignment="1" applyProtection="1">
      <alignment horizontal="left" vertical="center"/>
      <protection hidden="1"/>
    </xf>
    <xf numFmtId="0" fontId="3" fillId="3" borderId="14" xfId="0" applyFont="1" applyFill="1" applyBorder="1" applyAlignment="1" applyProtection="1">
      <alignment horizontal="left" vertical="center"/>
      <protection hidden="1"/>
    </xf>
  </cellXfs>
  <cellStyles count="2">
    <cellStyle name="Normalny" xfId="0" builtinId="0"/>
    <cellStyle name="Procentowy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9D5E8"/>
      <color rgb="FFF1DDE5"/>
      <color rgb="FFEDE1ED"/>
      <color rgb="FFF5D9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45720</xdr:rowOff>
    </xdr:from>
    <xdr:to>
      <xdr:col>16</xdr:col>
      <xdr:colOff>518160</xdr:colOff>
      <xdr:row>38</xdr:row>
      <xdr:rowOff>60960</xdr:rowOff>
    </xdr:to>
    <xdr:sp macro="" textlink="">
      <xdr:nvSpPr>
        <xdr:cNvPr id="2" name="pole tekstowe 1">
          <a:extLst>
            <a:ext uri="{FF2B5EF4-FFF2-40B4-BE49-F238E27FC236}">
              <a16:creationId xmlns="" xmlns:a16="http://schemas.microsoft.com/office/drawing/2014/main" id="{0A8D862B-2FCF-4422-9E3C-FF680764DCA9}"/>
            </a:ext>
          </a:extLst>
        </xdr:cNvPr>
        <xdr:cNvSpPr txBox="1"/>
      </xdr:nvSpPr>
      <xdr:spPr>
        <a:xfrm>
          <a:off x="7620" y="45720"/>
          <a:ext cx="10264140" cy="696468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200" b="1">
              <a:solidFill>
                <a:srgbClr val="C00000"/>
              </a:solidFill>
            </a:rPr>
            <a:t>INSTRUKCJA WPROWADZANIA</a:t>
          </a:r>
          <a:r>
            <a:rPr lang="pl-PL" sz="1200" b="1" baseline="0">
              <a:solidFill>
                <a:srgbClr val="C00000"/>
              </a:solidFill>
            </a:rPr>
            <a:t> DANYCH</a:t>
          </a:r>
          <a:endParaRPr lang="pl-PL" sz="1200" b="1">
            <a:solidFill>
              <a:srgbClr val="C00000"/>
            </a:solidFill>
          </a:endParaRPr>
        </a:p>
        <a:p>
          <a:endParaRPr lang="pl-PL" sz="1100">
            <a:solidFill>
              <a:srgbClr val="C00000"/>
            </a:solidFill>
          </a:endParaRPr>
        </a:p>
        <a:p>
          <a:r>
            <a:rPr lang="pl-PL" sz="1100" b="1"/>
            <a:t>1.  Obowiązkowo należy wypełnić zakładkę "Podstawa wymiaru  10 lat SC_SCS". </a:t>
          </a:r>
          <a:r>
            <a:rPr lang="pl-PL" sz="1100" b="0"/>
            <a:t>Wypełniamy pola </a:t>
          </a:r>
          <a:r>
            <a:rPr lang="pl-PL" sz="1100" b="1"/>
            <a:t>jasne, tj.</a:t>
          </a:r>
        </a:p>
        <a:p>
          <a:r>
            <a:rPr lang="pl-PL" sz="1100" b="0"/>
            <a:t>     a)  </a:t>
          </a:r>
          <a:r>
            <a:rPr lang="pl-PL" sz="1100" b="1"/>
            <a:t>w TABELI A. w Kolumnie</a:t>
          </a:r>
          <a:r>
            <a:rPr lang="pl-PL" sz="1100" b="1" baseline="0"/>
            <a:t> pt</a:t>
          </a:r>
          <a:r>
            <a:rPr lang="pl-PL" sz="1100" b="0" baseline="0"/>
            <a:t>. </a:t>
          </a:r>
          <a:r>
            <a:rPr lang="pl-PL" sz="1100" b="1" baseline="0"/>
            <a:t>"Roczne uposażenie funkcjonariusza  SC lub SCS</a:t>
          </a:r>
          <a:r>
            <a:rPr lang="pl-PL" sz="1100" b="0" baseline="0"/>
            <a:t>"  -  wprowadzamy sumę kwot należnych uposażeń (rocznych lub z danego okresu </a:t>
          </a:r>
          <a:br>
            <a:rPr lang="pl-PL" sz="1100" b="0" baseline="0"/>
          </a:br>
          <a:r>
            <a:rPr lang="pl-PL" sz="1100" b="0" baseline="0"/>
            <a:t>          - dotyczy  roku 2017, gdzie odpowiednie dane wprowadzamy w dwóch wierszach ),  należnych funkcjonariuszowi. Za kwotę uposażenia należnego  przyjmujemy </a:t>
          </a:r>
        </a:p>
        <a:p>
          <a:r>
            <a:rPr lang="pl-PL" sz="1100" b="0" baseline="0"/>
            <a:t>            uposażenie   zasadnicze wraz z dodatkami o charakterze stałym  i należną nagrodą roczną.</a:t>
          </a:r>
        </a:p>
        <a:p>
          <a:r>
            <a:rPr lang="pl-PL" sz="1100" b="0" baseline="0"/>
            <a:t>     b) </a:t>
          </a:r>
          <a:r>
            <a:rPr lang="pl-PL" sz="1100" b="1" baseline="0"/>
            <a:t>w TABELI B. </a:t>
          </a:r>
          <a:r>
            <a:rPr lang="pl-PL" sz="1100" b="0" baseline="0"/>
            <a:t>- datę zwolnienia </a:t>
          </a:r>
          <a:r>
            <a:rPr lang="pl-PL" sz="1100" b="1" baseline="0"/>
            <a:t>(w komórce A44) </a:t>
          </a:r>
          <a:r>
            <a:rPr lang="pl-PL" sz="1100" b="0" baseline="0"/>
            <a:t>i kwotę przeciętnego miesięcznego uposażenia z dnia zwolnienia, przekształcenia albo </a:t>
          </a:r>
          <a:r>
            <a:rPr lang="pl-PL" sz="1100" b="0" baseline="0">
              <a:solidFill>
                <a:sysClr val="windowText" lastClr="000000"/>
              </a:solidFill>
            </a:rPr>
            <a:t>wygaśnięcia</a:t>
          </a:r>
          <a:r>
            <a:rPr lang="pl-PL" sz="1100" b="0" baseline="0"/>
            <a:t> stosunku </a:t>
          </a:r>
        </a:p>
        <a:p>
          <a:r>
            <a:rPr lang="pl-PL" sz="1100" b="0" baseline="0"/>
            <a:t>          służbowego</a:t>
          </a:r>
          <a:r>
            <a:rPr lang="pl-PL" sz="1100" b="1" baseline="0"/>
            <a:t> 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(w komórce B44), </a:t>
          </a:r>
          <a:r>
            <a:rPr lang="pl-PL" sz="1100" b="0" baseline="0"/>
            <a:t>korzystając z kwot  przeciętnych miesięcznych uposażeń dla Służby Celnej (SC) i Służby Celno-Skarbowej (SCS) wykazanych </a:t>
          </a:r>
          <a:br>
            <a:rPr lang="pl-PL" sz="1100" b="0" baseline="0"/>
          </a:br>
          <a:r>
            <a:rPr lang="pl-PL" sz="1100" b="0" baseline="0"/>
            <a:t>          w  </a:t>
          </a:r>
          <a:r>
            <a:rPr lang="pl-PL" sz="1100" b="1" baseline="0"/>
            <a:t>TABELI C.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="1" baseline="0"/>
            <a:t>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="1" baseline="0"/>
            <a:t>           </a:t>
          </a:r>
          <a:r>
            <a:rPr lang="pl-PL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Jeżeli funkcjonariusz SC lub SCS do ustalenia podstawy wymiaru emerytury wybierze okres, w którym pełnił służbę w innej formacji  mundurowej, </a:t>
          </a:r>
          <a:r>
            <a:rPr lang="pl-PL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która została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uwzględniona przy ustalaniu prawa do emerytury, to stosunek uposażenia należnego do przeciętnego uposażenia oblicza się proporcjonalnie do poszczególnych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okresów danej służby. W takim przypadku wskaźnik WWPW należy obliczyć samodzielnie</a:t>
          </a:r>
          <a:r>
            <a:rPr lang="pl-PL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 wpisać tę wartość do komórki E32.  Zatem, jeżeli  E32&gt;0%,  to podstawa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wymiaru  zostanie obliczona wg wskaźnika z komórki E32. Jeżeli E32=0%, to do podstawy wymiaru przyjęty zostanie wskaźnik WWPW obliczony automatycznie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w komórce E30.</a:t>
          </a:r>
          <a:endParaRPr lang="pl-PL" sz="1100" b="1"/>
        </a:p>
        <a:p>
          <a:endParaRPr lang="pl-PL" sz="1100" b="1"/>
        </a:p>
        <a:p>
          <a:r>
            <a:rPr lang="pl-PL" sz="1100" b="1"/>
            <a:t>2.  Funkcjonariusz przyjęty do służby po raz pierwszy przed  01.01. 2013 r. wypełnia dane w zakładce "art. 15d lub 15e</a:t>
          </a:r>
          <a:r>
            <a:rPr lang="pl-PL" sz="1100" b="1" baseline="0"/>
            <a:t> SCS</a:t>
          </a:r>
          <a:r>
            <a:rPr lang="pl-PL" sz="1100" b="1"/>
            <a:t>".</a:t>
          </a:r>
          <a:r>
            <a:rPr lang="pl-PL" sz="1100"/>
            <a:t> </a:t>
          </a:r>
        </a:p>
        <a:p>
          <a:r>
            <a:rPr lang="pl-PL" sz="1100"/>
            <a:t>     Obowiązkowo należy wypełnić pola </a:t>
          </a:r>
          <a:r>
            <a:rPr lang="pl-PL" sz="1100" b="1"/>
            <a:t>jasne, tj</a:t>
          </a:r>
          <a:r>
            <a:rPr lang="pl-PL" sz="1100"/>
            <a:t>.:</a:t>
          </a:r>
        </a:p>
        <a:p>
          <a:r>
            <a:rPr lang="pl-PL" sz="1100"/>
            <a:t>     a)</a:t>
          </a:r>
          <a:r>
            <a:rPr lang="pl-PL" sz="1100" baseline="0"/>
            <a:t> </a:t>
          </a:r>
          <a:r>
            <a:rPr lang="pl-PL" sz="1100"/>
            <a:t>Datę wstąpienia po raz pierwszy do służby i rodzaj służby (zawodowej);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/>
            <a:t>     b) 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odzaj służby w dniu zwolnienia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zwolnienia pobierana jest z zakładki 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"Podstawa wymiaru  10 lat SC_SCS"</a:t>
          </a:r>
          <a:r>
            <a:rPr lang="pl-P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);</a:t>
          </a:r>
          <a:endParaRPr lang="pl-PL">
            <a:effectLst/>
          </a:endParaRPr>
        </a:p>
        <a:p>
          <a:r>
            <a:rPr lang="pl-PL" sz="1100"/>
            <a:t>     c)</a:t>
          </a:r>
          <a:r>
            <a:rPr lang="pl-PL" sz="1100" baseline="0"/>
            <a:t> Okresy służby i równorzędne ze służbą </a:t>
          </a:r>
          <a:r>
            <a:rPr lang="pl-PL" sz="1100" b="1" baseline="0"/>
            <a:t>(TABELA A.) </a:t>
          </a:r>
          <a:r>
            <a:rPr lang="pl-PL" sz="1100" baseline="0"/>
            <a:t>"Datę od" i "Datę do".</a:t>
          </a:r>
        </a:p>
        <a:p>
          <a:endParaRPr lang="pl-PL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pl-PL" sz="1100" b="1" baseline="0"/>
            <a:t> 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Funkcjonariusz, który przed przyjęciem do służby w SC lub SCS  pełnił przed  02.01.1999 r. służbę w innej formacji mundurowej (np. w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Plicji, SG, PSP....) i posiada </a:t>
          </a:r>
        </a:p>
        <a:p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okresy   składkowe lub  nieskładkowe przed służbą dodatkowo wypełnia TABELĘ B. - Okresy składkowe  i TABELĘ C. - Okresy nieskładkowe.</a:t>
          </a:r>
        </a:p>
        <a:p>
          <a:endParaRPr lang="pl-PL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Jeżeli funkcjonariusz SC lub SCS pełnił również przed 1.01.2013 r. służbę w Straży Granicznej np. w strażnicach, granicznych punktach kontrolnych i służba pełniona</a:t>
          </a:r>
        </a:p>
        <a:p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w tych jednostkach  zostanie zaliczona na podstawie art. 74 ust. 2 ustawy o Straży Granicznej w wymiarze półtorakrotnym  za każdy rok służby, to dodatkowo   </a:t>
          </a:r>
          <a:b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wypełnia TABELĘ D.</a:t>
          </a:r>
          <a:endParaRPr lang="pl-PL">
            <a:effectLst/>
          </a:endParaRPr>
        </a:p>
        <a:p>
          <a:r>
            <a:rPr lang="pl-PL" sz="1100" b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   Uwaga</a:t>
          </a:r>
          <a:endParaRPr lang="pl-PL">
            <a:solidFill>
              <a:srgbClr val="C00000"/>
            </a:solidFill>
            <a:effectLst/>
          </a:endParaRPr>
        </a:p>
        <a:p>
          <a:r>
            <a:rPr lang="pl-P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   W </a:t>
          </a:r>
          <a:r>
            <a:rPr lang="pl-PL" sz="1100" b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TABELI A</a:t>
          </a:r>
          <a:r>
            <a:rPr lang="pl-P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. należy wskazać okresy służby i równorzędne zaliczone w wymiarze pojedynczym, a w </a:t>
          </a:r>
          <a:r>
            <a:rPr lang="pl-PL" sz="1100" b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TABELI D</a:t>
          </a:r>
          <a:r>
            <a:rPr lang="pl-P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. w wymiarze półtorakrotnym. Okresy muszą być rozłączne </a:t>
          </a:r>
          <a:br>
            <a:rPr lang="pl-P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</a:br>
          <a:r>
            <a:rPr lang="pl-P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   i nie mogą się pokrywać. Do prawa do emerytury okresy w </a:t>
          </a:r>
          <a:r>
            <a:rPr lang="pl-PL" sz="1100" b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TABELI D.</a:t>
          </a:r>
          <a:r>
            <a:rPr lang="pl-PL" sz="110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zaliczone zostaną w wymiarze pojedynczym.</a:t>
          </a:r>
        </a:p>
        <a:p>
          <a:endParaRPr lang="pl-PL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Funkcjonariusz przyjęty do służby po raz pierwszy po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1.01.1999 r. i przed 1.10.2003 r., który posiada co najmniej 25 lat służby (liczonej wraz z okresami </a:t>
          </a:r>
          <a:b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równorzędnymi ze służbą) może dodatkowo obliczyć wysokość emerytury ustalonej  na podstawie art. 15aa ustawy zaopatrzeniowej wypełniając odpowiednie </a:t>
          </a:r>
          <a:b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dane w zakładce "art. 15aa SCS".</a:t>
          </a:r>
        </a:p>
        <a:p>
          <a:endParaRPr lang="pl-PL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Funkcjonariusz przyjęty do służby po raz pierwszy po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31.12.2012 r.  wypełnia dane w zakładce "art. 18e SCS". </a:t>
          </a:r>
          <a:r>
            <a:rPr lang="pl-P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 zakładce tej należy wypełnić pola 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jasne, </a:t>
          </a:r>
          <a:r>
            <a:rPr lang="pl-P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tj.: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a)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Datę wstąpienia po raz pierwszy do służby i rodzaj służby;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b) R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odzaj służby w dniu zwolnienia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zwolnienia pobierana jest automatycznie z zakładki 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"Podstawa wymiaru  10 lat SC_SCS</a:t>
          </a:r>
          <a:r>
            <a:rPr lang="pl-P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");</a:t>
          </a:r>
          <a:endParaRPr lang="pl-PL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c)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Okresy służby i równorzędne ze służbą </a:t>
          </a:r>
          <a:r>
            <a:rPr lang="pl-P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(TABELA A.) 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"Datę od" i "Datę do".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endParaRPr lang="pl-PL">
            <a:effectLst/>
          </a:endParaRPr>
        </a:p>
        <a:p>
          <a:endParaRPr lang="pl-PL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l-PL">
            <a:effectLst/>
          </a:endParaRPr>
        </a:p>
        <a:p>
          <a:endParaRPr lang="pl-PL" sz="1100" b="1" baseline="0"/>
        </a:p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M28"/>
  <sheetViews>
    <sheetView workbookViewId="0">
      <selection activeCell="S7" sqref="S7"/>
    </sheetView>
  </sheetViews>
  <sheetFormatPr defaultRowHeight="14.4" x14ac:dyDescent="0.3"/>
  <cols>
    <col min="1" max="16384" width="8.88671875" style="17"/>
  </cols>
  <sheetData>
    <row r="2" spans="1:13" x14ac:dyDescent="0.3">
      <c r="A2" s="52"/>
      <c r="B2" s="52"/>
      <c r="C2" s="52"/>
      <c r="D2" s="52"/>
      <c r="E2" s="52"/>
      <c r="F2" s="52"/>
      <c r="G2" s="52"/>
      <c r="H2" s="52"/>
    </row>
    <row r="4" spans="1:13" ht="14.4" customHeight="1" x14ac:dyDescent="0.3">
      <c r="A4" s="53" t="s">
        <v>74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x14ac:dyDescent="0.3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x14ac:dyDescent="0.3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3" x14ac:dyDescent="0.3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3" x14ac:dyDescent="0.3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9" spans="1:13" x14ac:dyDescent="0.3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</row>
    <row r="10" spans="1:13" x14ac:dyDescent="0.3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</row>
    <row r="11" spans="1:13" x14ac:dyDescent="0.3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</row>
    <row r="12" spans="1:13" x14ac:dyDescent="0.3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</row>
    <row r="13" spans="1:13" x14ac:dyDescent="0.3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</row>
    <row r="14" spans="1:13" x14ac:dyDescent="0.3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</row>
    <row r="15" spans="1:13" x14ac:dyDescent="0.3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</row>
    <row r="16" spans="1:13" x14ac:dyDescent="0.3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</row>
    <row r="17" spans="1:13" x14ac:dyDescent="0.3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</row>
    <row r="18" spans="1:13" x14ac:dyDescent="0.3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</row>
    <row r="19" spans="1:13" x14ac:dyDescent="0.3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x14ac:dyDescent="0.3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</row>
    <row r="21" spans="1:13" x14ac:dyDescent="0.3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</row>
    <row r="22" spans="1:13" x14ac:dyDescent="0.3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</row>
    <row r="23" spans="1:13" x14ac:dyDescent="0.3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</row>
    <row r="24" spans="1:13" x14ac:dyDescent="0.3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</row>
    <row r="25" spans="1:13" x14ac:dyDescent="0.3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</row>
    <row r="26" spans="1:13" x14ac:dyDescent="0.3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</row>
    <row r="27" spans="1:13" x14ac:dyDescent="0.3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</row>
    <row r="28" spans="1:13" x14ac:dyDescent="0.3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</row>
  </sheetData>
  <sheetProtection algorithmName="SHA-512" hashValue="IRTsBS6zFmqq23EXOKyJsBq5xGv1RPuI50bh4UCqN2PTekZRKZ+XrDm/dKB4C2QxXdWzixAMjSV0z/4sFIKUZQ==" saltValue="0wk2k2GvJEzVD/B+dEVNiA==" spinCount="100000" sheet="1" objects="1" scenarios="1"/>
  <pageMargins left="0.32" right="0.21" top="0.44" bottom="0.27" header="0.18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N54"/>
  <sheetViews>
    <sheetView tabSelected="1" workbookViewId="0">
      <selection activeCell="A34" sqref="A34:D35"/>
    </sheetView>
  </sheetViews>
  <sheetFormatPr defaultRowHeight="14.4" x14ac:dyDescent="0.3"/>
  <cols>
    <col min="1" max="1" width="21.5546875" style="38" customWidth="1"/>
    <col min="2" max="2" width="23.77734375" style="39" customWidth="1"/>
    <col min="3" max="3" width="20.5546875" style="40" customWidth="1"/>
    <col min="4" max="4" width="15.77734375" style="41" customWidth="1"/>
    <col min="5" max="5" width="17.33203125" style="42" customWidth="1"/>
    <col min="6" max="6" width="6.44140625" style="17" customWidth="1"/>
    <col min="7" max="7" width="15" style="17" hidden="1" customWidth="1"/>
    <col min="8" max="8" width="9.21875" style="17" customWidth="1"/>
    <col min="9" max="9" width="15.88671875" style="17" customWidth="1"/>
    <col min="10" max="10" width="17.44140625" style="17" customWidth="1"/>
    <col min="11" max="11" width="8.88671875" style="17"/>
    <col min="12" max="13" width="13.21875" style="17" customWidth="1"/>
    <col min="14" max="14" width="6.21875" style="17" customWidth="1"/>
    <col min="15" max="16384" width="8.88671875" style="17"/>
  </cols>
  <sheetData>
    <row r="1" spans="1:10" ht="25.8" customHeight="1" thickBot="1" x14ac:dyDescent="0.35">
      <c r="A1" s="297" t="s">
        <v>86</v>
      </c>
      <c r="B1" s="297"/>
      <c r="C1" s="297"/>
      <c r="D1" s="297"/>
      <c r="E1" s="297"/>
      <c r="F1" s="51">
        <v>10</v>
      </c>
    </row>
    <row r="2" spans="1:10" ht="31.8" customHeight="1" thickBot="1" x14ac:dyDescent="0.35">
      <c r="A2" s="267" t="s">
        <v>84</v>
      </c>
      <c r="B2" s="268"/>
      <c r="C2" s="268"/>
      <c r="D2" s="268"/>
      <c r="E2" s="269"/>
      <c r="I2" s="260" t="s">
        <v>87</v>
      </c>
      <c r="J2" s="261"/>
    </row>
    <row r="3" spans="1:10" ht="81.599999999999994" customHeight="1" thickBot="1" x14ac:dyDescent="0.35">
      <c r="A3" s="231" t="s">
        <v>26</v>
      </c>
      <c r="B3" s="232" t="s">
        <v>109</v>
      </c>
      <c r="C3" s="233" t="s">
        <v>94</v>
      </c>
      <c r="D3" s="234" t="s">
        <v>65</v>
      </c>
      <c r="E3" s="235" t="s">
        <v>23</v>
      </c>
      <c r="F3" s="18"/>
      <c r="I3" s="236" t="s">
        <v>26</v>
      </c>
      <c r="J3" s="62" t="s">
        <v>88</v>
      </c>
    </row>
    <row r="4" spans="1:10" ht="11.4" customHeight="1" thickBot="1" x14ac:dyDescent="0.35">
      <c r="A4" s="237">
        <v>1</v>
      </c>
      <c r="B4" s="238">
        <v>2</v>
      </c>
      <c r="C4" s="239">
        <v>3</v>
      </c>
      <c r="D4" s="240">
        <v>4</v>
      </c>
      <c r="E4" s="241">
        <v>5</v>
      </c>
      <c r="F4" s="242"/>
      <c r="G4" s="243"/>
      <c r="H4" s="243"/>
      <c r="I4" s="244">
        <v>1</v>
      </c>
      <c r="J4" s="245">
        <v>2</v>
      </c>
    </row>
    <row r="5" spans="1:10" x14ac:dyDescent="0.3">
      <c r="A5" s="45">
        <v>2000</v>
      </c>
      <c r="B5" s="14"/>
      <c r="C5" s="19">
        <v>25734.45</v>
      </c>
      <c r="D5" s="33">
        <f>ROUND(B5/C5,4)</f>
        <v>0</v>
      </c>
      <c r="E5" s="34">
        <f t="shared" ref="E5:E14" si="0">D5</f>
        <v>0</v>
      </c>
      <c r="F5" s="21"/>
      <c r="I5" s="248">
        <v>36526</v>
      </c>
      <c r="J5" s="253">
        <v>1362.13</v>
      </c>
    </row>
    <row r="6" spans="1:10" x14ac:dyDescent="0.3">
      <c r="A6" s="46">
        <v>2001</v>
      </c>
      <c r="B6" s="14"/>
      <c r="C6" s="22">
        <v>35445.120000000003</v>
      </c>
      <c r="D6" s="20">
        <f t="shared" ref="D6:D28" si="1">ROUND(B6/C6,4)</f>
        <v>0</v>
      </c>
      <c r="E6" s="23">
        <f t="shared" si="0"/>
        <v>0</v>
      </c>
      <c r="F6" s="21"/>
      <c r="I6" s="249">
        <v>36617</v>
      </c>
      <c r="J6" s="254">
        <v>2405.34</v>
      </c>
    </row>
    <row r="7" spans="1:10" x14ac:dyDescent="0.3">
      <c r="A7" s="46">
        <v>2002</v>
      </c>
      <c r="B7" s="14"/>
      <c r="C7" s="22">
        <v>35445.120000000003</v>
      </c>
      <c r="D7" s="20">
        <f t="shared" si="1"/>
        <v>0</v>
      </c>
      <c r="E7" s="23">
        <f t="shared" si="0"/>
        <v>0</v>
      </c>
      <c r="F7" s="21"/>
      <c r="I7" s="250">
        <v>36892</v>
      </c>
      <c r="J7" s="254">
        <v>2953.76</v>
      </c>
    </row>
    <row r="8" spans="1:10" x14ac:dyDescent="0.3">
      <c r="A8" s="46">
        <v>2003</v>
      </c>
      <c r="B8" s="14"/>
      <c r="C8" s="22">
        <v>38403.839999999997</v>
      </c>
      <c r="D8" s="20">
        <f t="shared" si="1"/>
        <v>0</v>
      </c>
      <c r="E8" s="23">
        <f t="shared" si="0"/>
        <v>0</v>
      </c>
      <c r="F8" s="21"/>
      <c r="I8" s="250">
        <v>37257</v>
      </c>
      <c r="J8" s="254">
        <v>2953.76</v>
      </c>
    </row>
    <row r="9" spans="1:10" x14ac:dyDescent="0.3">
      <c r="A9" s="46">
        <v>2004</v>
      </c>
      <c r="B9" s="14"/>
      <c r="C9" s="22">
        <v>39555.839999999997</v>
      </c>
      <c r="D9" s="20">
        <f t="shared" si="1"/>
        <v>0</v>
      </c>
      <c r="E9" s="23">
        <f t="shared" si="0"/>
        <v>0</v>
      </c>
      <c r="F9" s="21"/>
      <c r="I9" s="250">
        <v>37622</v>
      </c>
      <c r="J9" s="254">
        <v>3200.32</v>
      </c>
    </row>
    <row r="10" spans="1:10" x14ac:dyDescent="0.3">
      <c r="A10" s="46">
        <v>2005</v>
      </c>
      <c r="B10" s="14"/>
      <c r="C10" s="22">
        <v>40742.519999999997</v>
      </c>
      <c r="D10" s="20">
        <f t="shared" si="1"/>
        <v>0</v>
      </c>
      <c r="E10" s="23">
        <f t="shared" si="0"/>
        <v>0</v>
      </c>
      <c r="F10" s="21"/>
      <c r="I10" s="250">
        <v>37987</v>
      </c>
      <c r="J10" s="254">
        <v>3296.32</v>
      </c>
    </row>
    <row r="11" spans="1:10" x14ac:dyDescent="0.3">
      <c r="A11" s="46">
        <v>2006</v>
      </c>
      <c r="B11" s="14"/>
      <c r="C11" s="22">
        <v>41353.68</v>
      </c>
      <c r="D11" s="20">
        <f t="shared" si="1"/>
        <v>0</v>
      </c>
      <c r="E11" s="23">
        <f t="shared" si="0"/>
        <v>0</v>
      </c>
      <c r="F11" s="21"/>
      <c r="I11" s="250">
        <v>38353</v>
      </c>
      <c r="J11" s="254">
        <v>3446.14</v>
      </c>
    </row>
    <row r="12" spans="1:10" ht="15" thickBot="1" x14ac:dyDescent="0.35">
      <c r="A12" s="46">
        <v>2007</v>
      </c>
      <c r="B12" s="14"/>
      <c r="C12" s="22">
        <v>41353.68</v>
      </c>
      <c r="D12" s="20">
        <f t="shared" si="1"/>
        <v>0</v>
      </c>
      <c r="E12" s="23">
        <f t="shared" si="0"/>
        <v>0</v>
      </c>
      <c r="F12" s="21"/>
      <c r="G12" s="44" t="s">
        <v>75</v>
      </c>
      <c r="I12" s="250">
        <v>38718</v>
      </c>
      <c r="J12" s="254">
        <v>3446.14</v>
      </c>
    </row>
    <row r="13" spans="1:10" x14ac:dyDescent="0.3">
      <c r="A13" s="46">
        <v>2008</v>
      </c>
      <c r="B13" s="14"/>
      <c r="C13" s="22">
        <v>42304.68</v>
      </c>
      <c r="D13" s="20">
        <f t="shared" si="1"/>
        <v>0</v>
      </c>
      <c r="E13" s="23">
        <f t="shared" si="0"/>
        <v>0</v>
      </c>
      <c r="F13" s="21"/>
      <c r="G13" s="264" t="s">
        <v>66</v>
      </c>
      <c r="I13" s="250">
        <v>39083</v>
      </c>
      <c r="J13" s="254">
        <v>3525.39</v>
      </c>
    </row>
    <row r="14" spans="1:10" x14ac:dyDescent="0.3">
      <c r="A14" s="46">
        <v>2009</v>
      </c>
      <c r="B14" s="14"/>
      <c r="C14" s="22">
        <v>43150.8</v>
      </c>
      <c r="D14" s="20">
        <f t="shared" si="1"/>
        <v>0</v>
      </c>
      <c r="E14" s="23">
        <f t="shared" si="0"/>
        <v>0</v>
      </c>
      <c r="F14" s="21"/>
      <c r="G14" s="265"/>
      <c r="I14" s="250">
        <v>39448</v>
      </c>
      <c r="J14" s="254">
        <v>3595.9</v>
      </c>
    </row>
    <row r="15" spans="1:10" ht="14.4" customHeight="1" x14ac:dyDescent="0.3">
      <c r="A15" s="46">
        <v>2010</v>
      </c>
      <c r="B15" s="14"/>
      <c r="C15" s="22">
        <v>43150.8</v>
      </c>
      <c r="D15" s="20">
        <f t="shared" si="1"/>
        <v>0</v>
      </c>
      <c r="E15" s="23">
        <f>D15</f>
        <v>0</v>
      </c>
      <c r="F15" s="21"/>
      <c r="G15" s="265"/>
      <c r="I15" s="250">
        <v>39814</v>
      </c>
      <c r="J15" s="254">
        <v>3595.9</v>
      </c>
    </row>
    <row r="16" spans="1:10" ht="14.4" customHeight="1" thickBot="1" x14ac:dyDescent="0.35">
      <c r="A16" s="46">
        <v>2011</v>
      </c>
      <c r="B16" s="14"/>
      <c r="C16" s="22">
        <v>59856.22</v>
      </c>
      <c r="D16" s="20">
        <f t="shared" si="1"/>
        <v>0</v>
      </c>
      <c r="E16" s="23">
        <f>D16</f>
        <v>0</v>
      </c>
      <c r="F16" s="21"/>
      <c r="G16" s="266"/>
      <c r="I16" s="250">
        <v>40179</v>
      </c>
      <c r="J16" s="254">
        <v>3595.9</v>
      </c>
    </row>
    <row r="17" spans="1:10" x14ac:dyDescent="0.3">
      <c r="A17" s="46">
        <v>2012</v>
      </c>
      <c r="B17" s="14"/>
      <c r="C17" s="22">
        <v>61113.72</v>
      </c>
      <c r="D17" s="20">
        <f t="shared" si="1"/>
        <v>0</v>
      </c>
      <c r="E17" s="23">
        <f t="shared" ref="E17:E21" si="2">D17</f>
        <v>0</v>
      </c>
      <c r="F17" s="21"/>
      <c r="G17" s="24">
        <f>LARGE($E$5:$E$28,1)</f>
        <v>0</v>
      </c>
      <c r="I17" s="250">
        <v>40544</v>
      </c>
      <c r="J17" s="254">
        <v>3595.9</v>
      </c>
    </row>
    <row r="18" spans="1:10" x14ac:dyDescent="0.3">
      <c r="A18" s="46">
        <v>2013</v>
      </c>
      <c r="B18" s="14"/>
      <c r="C18" s="22">
        <v>61162.080000000002</v>
      </c>
      <c r="D18" s="20">
        <f t="shared" si="1"/>
        <v>0</v>
      </c>
      <c r="E18" s="23">
        <f t="shared" si="2"/>
        <v>0</v>
      </c>
      <c r="F18" s="21"/>
      <c r="G18" s="25">
        <f>LARGE($E$5:$E$28,2)</f>
        <v>0</v>
      </c>
      <c r="I18" s="250">
        <v>40548</v>
      </c>
      <c r="J18" s="254">
        <v>5003.1499999999996</v>
      </c>
    </row>
    <row r="19" spans="1:10" x14ac:dyDescent="0.3">
      <c r="A19" s="46">
        <v>2014</v>
      </c>
      <c r="B19" s="14"/>
      <c r="C19" s="22">
        <v>61162.080000000002</v>
      </c>
      <c r="D19" s="20">
        <f t="shared" si="1"/>
        <v>0</v>
      </c>
      <c r="E19" s="23">
        <f t="shared" si="2"/>
        <v>0</v>
      </c>
      <c r="F19" s="21"/>
      <c r="G19" s="25">
        <f>LARGE($E$5:$E$28,3)</f>
        <v>0</v>
      </c>
      <c r="I19" s="250">
        <v>40909</v>
      </c>
      <c r="J19" s="254">
        <v>5003.1499999999996</v>
      </c>
    </row>
    <row r="20" spans="1:10" x14ac:dyDescent="0.3">
      <c r="A20" s="46">
        <v>2015</v>
      </c>
      <c r="B20" s="14"/>
      <c r="C20" s="22">
        <v>61162.080000000002</v>
      </c>
      <c r="D20" s="20">
        <f t="shared" si="1"/>
        <v>0</v>
      </c>
      <c r="E20" s="23">
        <f t="shared" si="2"/>
        <v>0</v>
      </c>
      <c r="F20" s="21"/>
      <c r="G20" s="25">
        <f>LARGE($E$5:$E$28,4)</f>
        <v>0</v>
      </c>
      <c r="I20" s="250">
        <v>40925</v>
      </c>
      <c r="J20" s="254">
        <v>5096.84</v>
      </c>
    </row>
    <row r="21" spans="1:10" ht="15" thickBot="1" x14ac:dyDescent="0.35">
      <c r="A21" s="47">
        <v>2016</v>
      </c>
      <c r="B21" s="14"/>
      <c r="C21" s="26">
        <v>61162.080000000002</v>
      </c>
      <c r="D21" s="27">
        <f t="shared" si="1"/>
        <v>0</v>
      </c>
      <c r="E21" s="28">
        <f t="shared" si="2"/>
        <v>0</v>
      </c>
      <c r="F21" s="21"/>
      <c r="G21" s="25">
        <f>LARGE($E$5:$E$28,5)</f>
        <v>0</v>
      </c>
      <c r="I21" s="250">
        <v>41275</v>
      </c>
      <c r="J21" s="254">
        <v>5096.84</v>
      </c>
    </row>
    <row r="22" spans="1:10" x14ac:dyDescent="0.3">
      <c r="A22" s="48" t="s">
        <v>64</v>
      </c>
      <c r="B22" s="13"/>
      <c r="C22" s="29">
        <v>10193.68</v>
      </c>
      <c r="D22" s="30">
        <f t="shared" si="1"/>
        <v>0</v>
      </c>
      <c r="E22" s="270">
        <f>ROUND((D22*2+D23*10)/12,4)</f>
        <v>0</v>
      </c>
      <c r="F22" s="272"/>
      <c r="G22" s="25">
        <f>LARGE($E$5:$E$28,6)</f>
        <v>0</v>
      </c>
      <c r="I22" s="250">
        <v>41640</v>
      </c>
      <c r="J22" s="254">
        <v>5096.84</v>
      </c>
    </row>
    <row r="23" spans="1:10" ht="15" thickBot="1" x14ac:dyDescent="0.35">
      <c r="A23" s="49" t="s">
        <v>63</v>
      </c>
      <c r="B23" s="15"/>
      <c r="C23" s="31">
        <v>58089</v>
      </c>
      <c r="D23" s="32">
        <f t="shared" si="1"/>
        <v>0</v>
      </c>
      <c r="E23" s="271"/>
      <c r="F23" s="272"/>
      <c r="G23" s="25">
        <f>LARGE($E$5:$E$28,7)</f>
        <v>0</v>
      </c>
      <c r="I23" s="250">
        <v>42005</v>
      </c>
      <c r="J23" s="254">
        <v>5096.84</v>
      </c>
    </row>
    <row r="24" spans="1:10" x14ac:dyDescent="0.3">
      <c r="A24" s="45">
        <v>2018</v>
      </c>
      <c r="B24" s="16"/>
      <c r="C24" s="19">
        <v>61857.599999999999</v>
      </c>
      <c r="D24" s="33">
        <f t="shared" si="1"/>
        <v>0</v>
      </c>
      <c r="E24" s="34">
        <f t="shared" ref="E24:E28" si="3">D24</f>
        <v>0</v>
      </c>
      <c r="F24" s="35"/>
      <c r="G24" s="25">
        <f>LARGE($E$5:$E$28,8)</f>
        <v>0</v>
      </c>
      <c r="I24" s="250">
        <v>42370</v>
      </c>
      <c r="J24" s="254">
        <v>5096.84</v>
      </c>
    </row>
    <row r="25" spans="1:10" x14ac:dyDescent="0.3">
      <c r="A25" s="46">
        <v>2019</v>
      </c>
      <c r="B25" s="14"/>
      <c r="C25" s="22">
        <v>69200.399999999994</v>
      </c>
      <c r="D25" s="20">
        <f t="shared" si="1"/>
        <v>0</v>
      </c>
      <c r="E25" s="23">
        <f t="shared" si="3"/>
        <v>0</v>
      </c>
      <c r="F25" s="35"/>
      <c r="G25" s="25">
        <f>LARGE($E$5:$E$28,9)</f>
        <v>0</v>
      </c>
      <c r="I25" s="250">
        <v>42736</v>
      </c>
      <c r="J25" s="254">
        <v>5096.84</v>
      </c>
    </row>
    <row r="26" spans="1:10" ht="15" thickBot="1" x14ac:dyDescent="0.35">
      <c r="A26" s="46">
        <v>2020</v>
      </c>
      <c r="B26" s="14"/>
      <c r="C26" s="22">
        <v>78978.36</v>
      </c>
      <c r="D26" s="20">
        <f t="shared" si="1"/>
        <v>0</v>
      </c>
      <c r="E26" s="23">
        <f t="shared" si="3"/>
        <v>0</v>
      </c>
      <c r="F26" s="35"/>
      <c r="G26" s="37">
        <f>LARGE($E$5:$E$28,10)</f>
        <v>0</v>
      </c>
      <c r="I26" s="251">
        <v>42795</v>
      </c>
      <c r="J26" s="255">
        <v>5808.9</v>
      </c>
    </row>
    <row r="27" spans="1:10" ht="16.2" thickBot="1" x14ac:dyDescent="0.35">
      <c r="A27" s="46">
        <v>2021</v>
      </c>
      <c r="B27" s="14"/>
      <c r="C27" s="22">
        <v>78978.36</v>
      </c>
      <c r="D27" s="20">
        <f t="shared" si="1"/>
        <v>0</v>
      </c>
      <c r="E27" s="23">
        <f t="shared" si="3"/>
        <v>0</v>
      </c>
      <c r="F27" s="35"/>
      <c r="G27" s="229">
        <f>SUM(G17:G26)</f>
        <v>0</v>
      </c>
      <c r="I27" s="252">
        <v>43101</v>
      </c>
      <c r="J27" s="256">
        <v>5154.8</v>
      </c>
    </row>
    <row r="28" spans="1:10" ht="16.2" thickBot="1" x14ac:dyDescent="0.35">
      <c r="A28" s="50">
        <v>2022</v>
      </c>
      <c r="B28" s="15"/>
      <c r="C28" s="31">
        <v>83955.12</v>
      </c>
      <c r="D28" s="20">
        <f t="shared" si="1"/>
        <v>0</v>
      </c>
      <c r="E28" s="36">
        <f t="shared" si="3"/>
        <v>0</v>
      </c>
      <c r="F28" s="35"/>
      <c r="G28" s="230">
        <f>ROUND(G27/10,4)</f>
        <v>0</v>
      </c>
      <c r="I28" s="252">
        <v>43466</v>
      </c>
      <c r="J28" s="256">
        <v>5766.7</v>
      </c>
    </row>
    <row r="29" spans="1:10" ht="16.2" thickBot="1" x14ac:dyDescent="0.35">
      <c r="A29" s="273" t="s">
        <v>108</v>
      </c>
      <c r="B29" s="274"/>
      <c r="C29" s="274"/>
      <c r="D29" s="275"/>
      <c r="E29" s="63">
        <f t="array" aca="1" ref="E29" ca="1">SUM(LARGE($E$5:$E$28,ROW(INDIRECT("a1:a"&amp;$F$1))))</f>
        <v>0</v>
      </c>
      <c r="I29" s="252">
        <v>43831</v>
      </c>
      <c r="J29" s="256">
        <v>6581.53</v>
      </c>
    </row>
    <row r="30" spans="1:10" ht="16.2" thickBot="1" x14ac:dyDescent="0.35">
      <c r="A30" s="301" t="s">
        <v>105</v>
      </c>
      <c r="B30" s="302"/>
      <c r="C30" s="302"/>
      <c r="D30" s="303"/>
      <c r="E30" s="224">
        <f ca="1">ROUND(E29/10,4)</f>
        <v>0</v>
      </c>
      <c r="I30" s="252">
        <v>44197</v>
      </c>
      <c r="J30" s="256">
        <v>6581.53</v>
      </c>
    </row>
    <row r="31" spans="1:10" ht="16.2" thickBot="1" x14ac:dyDescent="0.35">
      <c r="A31" s="214"/>
      <c r="B31" s="214"/>
      <c r="C31" s="214"/>
      <c r="D31" s="214"/>
      <c r="E31" s="215"/>
      <c r="I31" s="251">
        <v>44562</v>
      </c>
      <c r="J31" s="257">
        <v>6996.26</v>
      </c>
    </row>
    <row r="32" spans="1:10" ht="16.2" customHeight="1" thickBot="1" x14ac:dyDescent="0.35">
      <c r="A32" s="304" t="s">
        <v>107</v>
      </c>
      <c r="B32" s="305"/>
      <c r="C32" s="305"/>
      <c r="D32" s="306"/>
      <c r="E32" s="228"/>
      <c r="I32" s="251">
        <v>44927</v>
      </c>
      <c r="J32" s="257">
        <v>6996.26</v>
      </c>
    </row>
    <row r="33" spans="1:14" ht="16.2" customHeight="1" thickBot="1" x14ac:dyDescent="0.35">
      <c r="A33" s="217"/>
      <c r="B33" s="217"/>
      <c r="C33" s="217"/>
      <c r="D33" s="217"/>
      <c r="E33" s="216"/>
      <c r="I33" s="259">
        <v>44986</v>
      </c>
      <c r="J33" s="258"/>
    </row>
    <row r="34" spans="1:14" ht="16.2" customHeight="1" x14ac:dyDescent="0.3">
      <c r="A34" s="311" t="s">
        <v>116</v>
      </c>
      <c r="B34" s="312"/>
      <c r="C34" s="312"/>
      <c r="D34" s="313"/>
      <c r="E34" s="276">
        <f ca="1">IF(E32&gt;0%, E32,E30)</f>
        <v>0</v>
      </c>
      <c r="I34" s="212"/>
      <c r="J34" s="213"/>
    </row>
    <row r="35" spans="1:14" ht="16.2" customHeight="1" thickBot="1" x14ac:dyDescent="0.35">
      <c r="A35" s="314"/>
      <c r="B35" s="315"/>
      <c r="C35" s="315"/>
      <c r="D35" s="316"/>
      <c r="E35" s="277"/>
      <c r="I35" s="212"/>
      <c r="J35" s="213"/>
    </row>
    <row r="36" spans="1:14" ht="16.2" customHeight="1" x14ac:dyDescent="0.3">
      <c r="A36" s="278" t="s">
        <v>110</v>
      </c>
      <c r="B36" s="279"/>
      <c r="C36" s="279"/>
      <c r="D36" s="279"/>
      <c r="E36" s="280"/>
      <c r="I36" s="212"/>
      <c r="J36" s="213"/>
    </row>
    <row r="37" spans="1:14" ht="34.799999999999997" customHeight="1" thickBot="1" x14ac:dyDescent="0.35">
      <c r="A37" s="281"/>
      <c r="B37" s="282"/>
      <c r="C37" s="282"/>
      <c r="D37" s="282"/>
      <c r="E37" s="283"/>
      <c r="I37" s="212"/>
      <c r="J37" s="213"/>
    </row>
    <row r="38" spans="1:14" ht="16.2" customHeight="1" x14ac:dyDescent="0.3">
      <c r="A38" s="214"/>
      <c r="B38" s="214"/>
      <c r="C38" s="214"/>
      <c r="D38" s="214"/>
      <c r="E38" s="61"/>
      <c r="I38" s="212"/>
      <c r="J38" s="213"/>
      <c r="K38" s="70"/>
    </row>
    <row r="39" spans="1:14" ht="16.2" customHeight="1" x14ac:dyDescent="0.3">
      <c r="A39" s="263" t="s">
        <v>100</v>
      </c>
      <c r="B39" s="263"/>
      <c r="C39" s="263"/>
      <c r="D39" s="64"/>
    </row>
    <row r="40" spans="1:14" ht="20.399999999999999" customHeight="1" thickBot="1" x14ac:dyDescent="0.35">
      <c r="A40" s="263"/>
      <c r="B40" s="263"/>
      <c r="C40" s="263"/>
      <c r="I40" s="65"/>
      <c r="J40" s="65"/>
      <c r="K40" s="65"/>
      <c r="L40" s="65"/>
      <c r="M40" s="65"/>
      <c r="N40" s="65"/>
    </row>
    <row r="41" spans="1:14" ht="21.6" customHeight="1" thickBot="1" x14ac:dyDescent="0.35">
      <c r="A41" s="285" t="s">
        <v>85</v>
      </c>
      <c r="B41" s="286"/>
      <c r="C41" s="286"/>
      <c r="D41" s="287"/>
      <c r="E41" s="17"/>
      <c r="J41" s="262"/>
      <c r="K41" s="288"/>
      <c r="L41" s="288"/>
      <c r="M41" s="284"/>
      <c r="N41" s="65"/>
    </row>
    <row r="42" spans="1:14" ht="33.6" customHeight="1" x14ac:dyDescent="0.3">
      <c r="A42" s="289" t="s">
        <v>101</v>
      </c>
      <c r="B42" s="291" t="s">
        <v>111</v>
      </c>
      <c r="C42" s="292"/>
      <c r="D42" s="309" t="s">
        <v>106</v>
      </c>
      <c r="E42" s="17"/>
      <c r="J42" s="262"/>
      <c r="K42" s="288"/>
      <c r="L42" s="288"/>
      <c r="M42" s="284"/>
      <c r="N42" s="65"/>
    </row>
    <row r="43" spans="1:14" ht="24.6" customHeight="1" thickBot="1" x14ac:dyDescent="0.35">
      <c r="A43" s="290"/>
      <c r="B43" s="293"/>
      <c r="C43" s="294"/>
      <c r="D43" s="310"/>
      <c r="E43" s="17"/>
      <c r="J43" s="220"/>
      <c r="K43" s="221"/>
      <c r="L43" s="65"/>
      <c r="M43" s="223"/>
      <c r="N43" s="65"/>
    </row>
    <row r="44" spans="1:14" ht="24.6" customHeight="1" thickBot="1" x14ac:dyDescent="0.35">
      <c r="A44" s="227">
        <v>44562</v>
      </c>
      <c r="B44" s="307">
        <v>6996.26</v>
      </c>
      <c r="C44" s="308"/>
      <c r="D44" s="225">
        <f ca="1">E34</f>
        <v>0</v>
      </c>
      <c r="E44" s="17"/>
      <c r="J44" s="222"/>
      <c r="K44" s="222"/>
      <c r="L44" s="222"/>
      <c r="M44" s="213"/>
      <c r="N44" s="65"/>
    </row>
    <row r="45" spans="1:14" ht="26.4" customHeight="1" thickBot="1" x14ac:dyDescent="0.35">
      <c r="A45" s="298" t="s">
        <v>114</v>
      </c>
      <c r="B45" s="299"/>
      <c r="C45" s="300"/>
      <c r="D45" s="226">
        <f ca="1">ROUND(B44*D44,2)</f>
        <v>0</v>
      </c>
      <c r="J45" s="65"/>
      <c r="K45" s="65"/>
      <c r="L45" s="65"/>
      <c r="M45" s="65"/>
      <c r="N45" s="65"/>
    </row>
    <row r="46" spans="1:14" ht="17.399999999999999" customHeight="1" x14ac:dyDescent="0.3">
      <c r="A46" s="218"/>
      <c r="B46" s="218"/>
      <c r="C46" s="213"/>
      <c r="D46" s="219"/>
      <c r="J46" s="65"/>
      <c r="K46" s="65"/>
      <c r="L46" s="65"/>
      <c r="M46" s="65"/>
      <c r="N46" s="65"/>
    </row>
    <row r="47" spans="1:14" ht="14.4" customHeight="1" x14ac:dyDescent="0.3">
      <c r="A47" s="296" t="s">
        <v>102</v>
      </c>
      <c r="B47" s="296"/>
      <c r="C47" s="296"/>
      <c r="D47" s="296"/>
      <c r="E47" s="69"/>
      <c r="F47" s="70"/>
      <c r="G47" s="70"/>
    </row>
    <row r="48" spans="1:14" ht="14.4" customHeight="1" x14ac:dyDescent="0.3">
      <c r="A48" s="44"/>
      <c r="B48" s="44"/>
      <c r="C48" s="44"/>
      <c r="E48" s="69"/>
      <c r="F48" s="70"/>
      <c r="G48" s="70"/>
    </row>
    <row r="49" spans="1:7" ht="14.4" customHeight="1" x14ac:dyDescent="0.3">
      <c r="A49" s="295" t="s">
        <v>76</v>
      </c>
      <c r="B49" s="295"/>
      <c r="C49" s="295"/>
      <c r="D49" s="295"/>
      <c r="E49" s="71"/>
      <c r="F49" s="71"/>
      <c r="G49" s="70"/>
    </row>
    <row r="50" spans="1:7" ht="15.6" customHeight="1" x14ac:dyDescent="0.3">
      <c r="A50" s="295"/>
      <c r="B50" s="295"/>
      <c r="C50" s="295"/>
      <c r="D50" s="295"/>
      <c r="E50" s="71"/>
      <c r="F50" s="71"/>
      <c r="G50" s="70"/>
    </row>
    <row r="51" spans="1:7" ht="14.4" customHeight="1" x14ac:dyDescent="0.3">
      <c r="A51" s="295"/>
      <c r="B51" s="295"/>
      <c r="C51" s="295"/>
      <c r="D51" s="295"/>
      <c r="E51" s="71"/>
      <c r="F51" s="71"/>
      <c r="G51" s="70"/>
    </row>
    <row r="52" spans="1:7" ht="14.4" customHeight="1" x14ac:dyDescent="0.3">
      <c r="A52" s="295"/>
      <c r="B52" s="295"/>
      <c r="C52" s="295"/>
      <c r="D52" s="295"/>
      <c r="E52" s="71"/>
      <c r="F52" s="71"/>
      <c r="G52" s="70"/>
    </row>
    <row r="53" spans="1:7" ht="14.4" customHeight="1" x14ac:dyDescent="0.3">
      <c r="A53" s="295"/>
      <c r="B53" s="295"/>
      <c r="C53" s="295"/>
      <c r="D53" s="295"/>
      <c r="E53" s="69"/>
      <c r="F53" s="70"/>
      <c r="G53" s="70"/>
    </row>
    <row r="54" spans="1:7" ht="14.4" customHeight="1" x14ac:dyDescent="0.3">
      <c r="A54" s="295"/>
      <c r="B54" s="295"/>
      <c r="C54" s="295"/>
      <c r="D54" s="295"/>
      <c r="E54" s="69"/>
      <c r="F54" s="70"/>
      <c r="G54" s="70"/>
    </row>
  </sheetData>
  <sheetProtection algorithmName="SHA-512" hashValue="aq8E/VW2GCIP0a/gzs6LUyn3V2uhTzCDP/HC0xLi3gmJNPSknvB3RWokfd9val7hzRa9Jrt2OuC24tvGEZFRbg==" saltValue="g9eAUnvt+Ew2MGAbv69dOQ==" spinCount="100000" sheet="1" objects="1" scenarios="1"/>
  <mergeCells count="24">
    <mergeCell ref="A49:D54"/>
    <mergeCell ref="A47:D47"/>
    <mergeCell ref="A1:E1"/>
    <mergeCell ref="A45:C45"/>
    <mergeCell ref="A30:D30"/>
    <mergeCell ref="A32:D32"/>
    <mergeCell ref="B44:C44"/>
    <mergeCell ref="D42:D43"/>
    <mergeCell ref="A34:D35"/>
    <mergeCell ref="M41:M42"/>
    <mergeCell ref="A41:D41"/>
    <mergeCell ref="K41:L42"/>
    <mergeCell ref="A42:A43"/>
    <mergeCell ref="B42:C43"/>
    <mergeCell ref="I2:J2"/>
    <mergeCell ref="J41:J42"/>
    <mergeCell ref="A39:C40"/>
    <mergeCell ref="G13:G16"/>
    <mergeCell ref="A2:E2"/>
    <mergeCell ref="E22:E23"/>
    <mergeCell ref="F22:F23"/>
    <mergeCell ref="A29:D29"/>
    <mergeCell ref="E34:E35"/>
    <mergeCell ref="A36:E37"/>
  </mergeCells>
  <conditionalFormatting sqref="E5:E28">
    <cfRule type="top10" dxfId="1" priority="1" percent="1" rank="10"/>
    <cfRule type="top10" dxfId="0" priority="3" rank="10"/>
  </conditionalFormatting>
  <pageMargins left="0.70866141732283472" right="0.70866141732283472" top="0.23622047244094491" bottom="0.19685039370078741" header="0.15748031496062992" footer="0.15748031496062992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</sheetPr>
  <dimension ref="A1:U71"/>
  <sheetViews>
    <sheetView workbookViewId="0">
      <pane xSplit="5" ySplit="1" topLeftCell="F2" activePane="bottomRight" state="frozen"/>
      <selection activeCell="C4" sqref="C4"/>
      <selection pane="topRight" activeCell="C4" sqref="C4"/>
      <selection pane="bottomLeft" activeCell="C4" sqref="C4"/>
      <selection pane="bottomRight" activeCell="I4" sqref="I4"/>
    </sheetView>
  </sheetViews>
  <sheetFormatPr defaultRowHeight="14.4" x14ac:dyDescent="0.3"/>
  <cols>
    <col min="1" max="1" width="20.109375" style="17" customWidth="1"/>
    <col min="2" max="2" width="20.77734375" style="17" customWidth="1"/>
    <col min="3" max="3" width="7" style="17" customWidth="1"/>
    <col min="4" max="4" width="7.5546875" style="17" customWidth="1"/>
    <col min="5" max="5" width="6.88671875" style="17" customWidth="1"/>
    <col min="6" max="6" width="5.44140625" style="17" customWidth="1"/>
    <col min="7" max="7" width="66.109375" style="17" customWidth="1"/>
    <col min="8" max="10" width="12.77734375" style="44" customWidth="1"/>
    <col min="11" max="11" width="12.77734375" style="17" customWidth="1"/>
    <col min="12" max="12" width="20.44140625" style="17" customWidth="1"/>
    <col min="13" max="13" width="10.88671875" style="17" customWidth="1"/>
    <col min="14" max="14" width="12.77734375" style="17" customWidth="1"/>
    <col min="15" max="15" width="11.44140625" style="17" customWidth="1"/>
    <col min="16" max="16" width="11.5546875" style="17" customWidth="1"/>
    <col min="17" max="16384" width="8.88671875" style="17"/>
  </cols>
  <sheetData>
    <row r="1" spans="1:21" ht="24" customHeight="1" thickBot="1" x14ac:dyDescent="0.35">
      <c r="A1" s="332" t="s">
        <v>82</v>
      </c>
      <c r="B1" s="332"/>
      <c r="C1" s="332"/>
      <c r="D1" s="332"/>
      <c r="E1" s="332"/>
      <c r="G1" s="83" t="s">
        <v>40</v>
      </c>
      <c r="H1" s="297" t="s">
        <v>73</v>
      </c>
      <c r="I1" s="297"/>
      <c r="J1" s="297"/>
      <c r="K1" s="297"/>
      <c r="M1" s="84">
        <v>36161</v>
      </c>
      <c r="N1" s="84">
        <v>36162</v>
      </c>
      <c r="O1" s="84">
        <v>37895</v>
      </c>
      <c r="P1" s="84">
        <v>41275</v>
      </c>
      <c r="S1" s="85">
        <v>0.09</v>
      </c>
      <c r="T1" s="85">
        <v>0.12</v>
      </c>
      <c r="U1" s="86">
        <v>300</v>
      </c>
    </row>
    <row r="2" spans="1:21" ht="19.95" customHeight="1" thickBot="1" x14ac:dyDescent="0.35">
      <c r="A2" s="260" t="s">
        <v>56</v>
      </c>
      <c r="B2" s="323"/>
      <c r="C2" s="323"/>
      <c r="D2" s="323"/>
      <c r="E2" s="324"/>
      <c r="G2" s="87" t="s">
        <v>112</v>
      </c>
      <c r="H2" s="88" t="s">
        <v>14</v>
      </c>
      <c r="I2" s="89" t="s">
        <v>0</v>
      </c>
      <c r="J2" s="90"/>
      <c r="K2" s="91" t="s">
        <v>36</v>
      </c>
      <c r="L2" s="92"/>
      <c r="M2" s="92"/>
    </row>
    <row r="3" spans="1:21" ht="19.95" customHeight="1" thickBot="1" x14ac:dyDescent="0.35">
      <c r="A3" s="93" t="s">
        <v>32</v>
      </c>
      <c r="B3" s="94" t="s">
        <v>33</v>
      </c>
      <c r="C3" s="93" t="s">
        <v>26</v>
      </c>
      <c r="D3" s="95" t="s">
        <v>29</v>
      </c>
      <c r="E3" s="94" t="s">
        <v>17</v>
      </c>
      <c r="G3" s="96" t="s">
        <v>25</v>
      </c>
      <c r="H3" s="12"/>
      <c r="I3" s="10"/>
      <c r="J3" s="90"/>
      <c r="K3" s="97" t="str">
        <f>IF($H$3&lt;$N$1,"art.15e",IF($H$3&lt;$P$1,"art.15d","poza_zakresem"))</f>
        <v>art.15e</v>
      </c>
      <c r="L3" s="92"/>
      <c r="M3" s="92"/>
    </row>
    <row r="4" spans="1:21" ht="19.95" customHeight="1" thickBot="1" x14ac:dyDescent="0.35">
      <c r="A4" s="1"/>
      <c r="B4" s="2"/>
      <c r="C4" s="100">
        <f>IF((ISBLANK(A4)=TRUE),0,DATEDIF(A4,B4+1,"Y"))</f>
        <v>0</v>
      </c>
      <c r="D4" s="101">
        <f>IF((ISBLANK(A4)=TRUE),0,DATEDIF(A4,B4+1,"YM"))</f>
        <v>0</v>
      </c>
      <c r="E4" s="102">
        <f>IF((ISBLANK(A4)=TRUE),0,DATEDIF(A4,B4+1,"MD"))</f>
        <v>0</v>
      </c>
      <c r="G4" s="103" t="s">
        <v>99</v>
      </c>
      <c r="H4" s="73">
        <f>'Podstawa wymiaru 10 lat SC_SCS'!A44</f>
        <v>44562</v>
      </c>
      <c r="I4" s="11" t="s">
        <v>11</v>
      </c>
      <c r="J4" s="90"/>
      <c r="K4" s="104"/>
      <c r="L4" s="104"/>
      <c r="M4" s="92"/>
    </row>
    <row r="5" spans="1:21" ht="19.95" customHeight="1" thickBot="1" x14ac:dyDescent="0.35">
      <c r="A5" s="1"/>
      <c r="B5" s="2"/>
      <c r="C5" s="105">
        <f>IF((ISBLANK(A5)=TRUE),0,DATEDIF(A5,B5+1,"Y"))</f>
        <v>0</v>
      </c>
      <c r="D5" s="106">
        <f>IF((ISBLANK(A5)=TRUE),0,DATEDIF(A5,B5+1,"YM"))</f>
        <v>0</v>
      </c>
      <c r="E5" s="107">
        <f>IF((ISBLANK(A5)=TRUE),0,DATEDIF(A5,B5+1,"MD"))</f>
        <v>0</v>
      </c>
      <c r="G5" s="108"/>
      <c r="H5" s="341"/>
      <c r="I5" s="341"/>
      <c r="J5" s="90"/>
      <c r="K5" s="92"/>
      <c r="L5" s="92"/>
      <c r="M5" s="92"/>
    </row>
    <row r="6" spans="1:21" ht="19.95" customHeight="1" thickBot="1" x14ac:dyDescent="0.35">
      <c r="A6" s="1"/>
      <c r="B6" s="2"/>
      <c r="C6" s="105">
        <f>IF((ISBLANK(A6)=TRUE),0,DATEDIF(A6,B6+1,"Y"))</f>
        <v>0</v>
      </c>
      <c r="D6" s="106">
        <f>IF((ISBLANK(A6)=TRUE),0,DATEDIF(A6,B6+1,"YM"))</f>
        <v>0</v>
      </c>
      <c r="E6" s="107">
        <f>IF((ISBLANK(A6)=TRUE),0,DATEDIF(A6,B6+1,"MD"))</f>
        <v>0</v>
      </c>
      <c r="G6" s="109" t="s">
        <v>113</v>
      </c>
      <c r="H6" s="110" t="s">
        <v>15</v>
      </c>
      <c r="I6" s="111" t="s">
        <v>16</v>
      </c>
      <c r="J6" s="112" t="s">
        <v>17</v>
      </c>
      <c r="K6" s="113" t="s">
        <v>28</v>
      </c>
      <c r="L6" s="114"/>
      <c r="M6" s="114"/>
    </row>
    <row r="7" spans="1:21" ht="19.95" customHeight="1" x14ac:dyDescent="0.3">
      <c r="A7" s="3"/>
      <c r="B7" s="4"/>
      <c r="C7" s="105">
        <f t="shared" ref="C7:C14" si="0">IF((ISBLANK(A7)=TRUE),0,DATEDIF(A7,B7+1,"Y"))</f>
        <v>0</v>
      </c>
      <c r="D7" s="106">
        <f t="shared" ref="D7:D14" si="1">IF((ISBLANK(A7)=TRUE),0,DATEDIF(A7,B7+1,"YM"))</f>
        <v>0</v>
      </c>
      <c r="E7" s="107">
        <f t="shared" ref="E7:E14" si="2">IF((ISBLANK(A7)=TRUE),0,DATEDIF(A7,B7+1,"MD"))</f>
        <v>0</v>
      </c>
      <c r="G7" s="117" t="s">
        <v>38</v>
      </c>
      <c r="H7" s="118">
        <f>C66</f>
        <v>0</v>
      </c>
      <c r="I7" s="119">
        <f>D66</f>
        <v>0</v>
      </c>
      <c r="J7" s="120">
        <f>E66</f>
        <v>0</v>
      </c>
      <c r="K7" s="80" t="str">
        <f>IF(C71&lt;15,"brak prawa",IF(AND(H8&lt;3,(J7+J8)&gt;30),ROUND(0.4+(H7-15)*0.026+(I7+1)*0.026/12,4),ROUND(0.4+(H7-15)*0.026+I7*0.026/12,4)))</f>
        <v>brak prawa</v>
      </c>
      <c r="L7" s="79" t="str">
        <f>IF(AND(H8&lt;3,(J7+J8)&gt;30),"+1 mies. po 2,6% za sumę dni","-")</f>
        <v>-</v>
      </c>
      <c r="M7" s="72"/>
    </row>
    <row r="8" spans="1:21" ht="19.95" customHeight="1" x14ac:dyDescent="0.3">
      <c r="A8" s="3"/>
      <c r="B8" s="4"/>
      <c r="C8" s="105">
        <f t="shared" si="0"/>
        <v>0</v>
      </c>
      <c r="D8" s="106">
        <f t="shared" si="1"/>
        <v>0</v>
      </c>
      <c r="E8" s="107">
        <f t="shared" si="2"/>
        <v>0</v>
      </c>
      <c r="G8" s="121" t="s">
        <v>19</v>
      </c>
      <c r="H8" s="122">
        <f>IF($H$3&lt;$N$1,C30,0)</f>
        <v>0</v>
      </c>
      <c r="I8" s="123">
        <f>IF($H$3&lt;$N$1,D30,0)</f>
        <v>0</v>
      </c>
      <c r="J8" s="124">
        <f>IF($H$3&lt;$N$1,E30,0)</f>
        <v>0</v>
      </c>
      <c r="K8" s="125">
        <f>IF(H8&lt;3,ROUND(H8*0.026+I8*0.026/12,4),ROUND(0.078+(H8-3)*0.013+I8*0.13/12,4))</f>
        <v>0</v>
      </c>
      <c r="L8" s="72" t="str">
        <f>IF($K$3="art.15d","nie_dolicza_się","-")</f>
        <v>-</v>
      </c>
      <c r="M8" s="72"/>
    </row>
    <row r="9" spans="1:21" ht="19.95" customHeight="1" thickBot="1" x14ac:dyDescent="0.35">
      <c r="A9" s="3"/>
      <c r="B9" s="4"/>
      <c r="C9" s="105">
        <f t="shared" si="0"/>
        <v>0</v>
      </c>
      <c r="D9" s="106">
        <f t="shared" si="1"/>
        <v>0</v>
      </c>
      <c r="E9" s="107">
        <f t="shared" si="2"/>
        <v>0</v>
      </c>
      <c r="G9" s="126" t="s">
        <v>20</v>
      </c>
      <c r="H9" s="127">
        <f>IF($H$3&lt;$N$1,C45,0)</f>
        <v>0</v>
      </c>
      <c r="I9" s="128">
        <f>IF($H$3&lt;$N$1,D45,0)</f>
        <v>0</v>
      </c>
      <c r="J9" s="129">
        <f>IF($H$3&lt;$N$1,E45,0)</f>
        <v>0</v>
      </c>
      <c r="K9" s="81">
        <f>ROUND(H9*0.007+I9*0.007/12,4)</f>
        <v>0</v>
      </c>
      <c r="L9" s="72" t="str">
        <f>IF($K$3="art.15d","nie_dolicza_się","-")</f>
        <v>-</v>
      </c>
      <c r="M9" s="130"/>
    </row>
    <row r="10" spans="1:21" ht="19.95" customHeight="1" thickBot="1" x14ac:dyDescent="0.35">
      <c r="A10" s="3"/>
      <c r="B10" s="4"/>
      <c r="C10" s="105">
        <f t="shared" si="0"/>
        <v>0</v>
      </c>
      <c r="D10" s="106">
        <f>IF((ISBLANK(A10)=TRUE),0,DATEDIF(A10,B10+1,"YM"))</f>
        <v>0</v>
      </c>
      <c r="E10" s="107">
        <f>IF((ISBLANK(A10)=TRUE),0,DATEDIF(A10,B10+1,"MD"))</f>
        <v>0</v>
      </c>
      <c r="G10" s="131"/>
      <c r="H10" s="333" t="s">
        <v>27</v>
      </c>
      <c r="I10" s="334"/>
      <c r="J10" s="334"/>
      <c r="K10" s="81">
        <f>MIN(SUM(K3:K9),0.75)</f>
        <v>0</v>
      </c>
      <c r="L10" s="130"/>
      <c r="M10" s="130"/>
    </row>
    <row r="11" spans="1:21" ht="19.95" customHeight="1" x14ac:dyDescent="0.3">
      <c r="A11" s="3"/>
      <c r="B11" s="4"/>
      <c r="C11" s="105">
        <f t="shared" si="0"/>
        <v>0</v>
      </c>
      <c r="D11" s="106">
        <f>IF((ISBLANK(A11)=TRUE),0,DATEDIF(A11,B11+1,"YM"))</f>
        <v>0</v>
      </c>
      <c r="E11" s="107">
        <f>IF((ISBLANK(A11)=TRUE),0,DATEDIF(A11,B11+1,"MD"))</f>
        <v>0</v>
      </c>
      <c r="G11" s="131"/>
      <c r="H11" s="83"/>
      <c r="I11" s="83"/>
      <c r="J11" s="132"/>
      <c r="K11" s="133"/>
      <c r="L11" s="130"/>
      <c r="M11" s="130"/>
    </row>
    <row r="12" spans="1:21" ht="19.95" customHeight="1" thickBot="1" x14ac:dyDescent="0.35">
      <c r="A12" s="3"/>
      <c r="B12" s="4"/>
      <c r="C12" s="105">
        <f t="shared" si="0"/>
        <v>0</v>
      </c>
      <c r="D12" s="106">
        <f t="shared" si="1"/>
        <v>0</v>
      </c>
      <c r="E12" s="107">
        <f t="shared" si="2"/>
        <v>0</v>
      </c>
      <c r="G12" s="342" t="s">
        <v>103</v>
      </c>
      <c r="H12" s="342"/>
      <c r="I12" s="342"/>
      <c r="J12" s="342"/>
      <c r="K12" s="342"/>
      <c r="N12" s="130"/>
    </row>
    <row r="13" spans="1:21" ht="19.95" customHeight="1" thickBot="1" x14ac:dyDescent="0.35">
      <c r="A13" s="3"/>
      <c r="B13" s="4"/>
      <c r="C13" s="105">
        <f t="shared" si="0"/>
        <v>0</v>
      </c>
      <c r="D13" s="106">
        <f t="shared" si="1"/>
        <v>0</v>
      </c>
      <c r="E13" s="107">
        <f t="shared" si="2"/>
        <v>0</v>
      </c>
      <c r="G13" s="347" t="s">
        <v>104</v>
      </c>
      <c r="H13" s="348"/>
      <c r="I13" s="348"/>
      <c r="J13" s="349"/>
      <c r="K13" s="57">
        <f>'Podstawa wymiaru 10 lat SC_SCS'!B44</f>
        <v>6996.26</v>
      </c>
      <c r="N13" s="130"/>
    </row>
    <row r="14" spans="1:21" ht="19.95" customHeight="1" thickBot="1" x14ac:dyDescent="0.35">
      <c r="A14" s="5"/>
      <c r="B14" s="6"/>
      <c r="C14" s="136">
        <f t="shared" si="0"/>
        <v>0</v>
      </c>
      <c r="D14" s="137">
        <f t="shared" si="1"/>
        <v>0</v>
      </c>
      <c r="E14" s="138">
        <f t="shared" si="2"/>
        <v>0</v>
      </c>
      <c r="G14" s="335" t="s">
        <v>96</v>
      </c>
      <c r="H14" s="336"/>
      <c r="I14" s="336"/>
      <c r="J14" s="337"/>
      <c r="K14" s="55">
        <f ca="1">'Podstawa wymiaru 10 lat SC_SCS'!D44</f>
        <v>0</v>
      </c>
      <c r="N14" s="130"/>
    </row>
    <row r="15" spans="1:21" ht="19.95" customHeight="1" thickBot="1" x14ac:dyDescent="0.35">
      <c r="A15" s="260" t="s">
        <v>30</v>
      </c>
      <c r="B15" s="261"/>
      <c r="C15" s="139">
        <f>SUM(C4:C14)+INT((SUM(D4:D14)+INT(SUM(E4:E14)/30))/12)</f>
        <v>0</v>
      </c>
      <c r="D15" s="139">
        <f>MOD(SUM(D4:D14)+INT(SUM(E4:E14)/30),12)</f>
        <v>0</v>
      </c>
      <c r="E15" s="140">
        <f>MOD(SUM(E4:E14),30)</f>
        <v>0</v>
      </c>
      <c r="G15" s="338" t="s">
        <v>115</v>
      </c>
      <c r="H15" s="339"/>
      <c r="I15" s="339"/>
      <c r="J15" s="340"/>
      <c r="K15" s="58">
        <f ca="1">'Podstawa wymiaru 10 lat SC_SCS'!D45</f>
        <v>0</v>
      </c>
      <c r="N15" s="130"/>
    </row>
    <row r="16" spans="1:21" ht="19.95" customHeight="1" thickBot="1" x14ac:dyDescent="0.35">
      <c r="A16" s="44"/>
      <c r="B16" s="44"/>
      <c r="C16" s="44"/>
      <c r="D16" s="44"/>
      <c r="E16" s="44"/>
      <c r="G16" s="66" t="s">
        <v>24</v>
      </c>
      <c r="H16" s="67"/>
      <c r="I16" s="67"/>
      <c r="J16" s="68"/>
      <c r="K16" s="43">
        <f>K10</f>
        <v>0</v>
      </c>
    </row>
    <row r="17" spans="1:14" ht="19.95" customHeight="1" thickBot="1" x14ac:dyDescent="0.35">
      <c r="A17" s="317" t="s">
        <v>57</v>
      </c>
      <c r="B17" s="325"/>
      <c r="C17" s="325"/>
      <c r="D17" s="325"/>
      <c r="E17" s="326"/>
      <c r="G17" s="351" t="s">
        <v>98</v>
      </c>
      <c r="H17" s="352"/>
      <c r="I17" s="352"/>
      <c r="J17" s="352"/>
      <c r="K17" s="74">
        <f ca="1">ROUND(K15*K16,2)</f>
        <v>0</v>
      </c>
    </row>
    <row r="18" spans="1:14" ht="19.95" customHeight="1" thickBot="1" x14ac:dyDescent="0.35">
      <c r="A18" s="141" t="s">
        <v>32</v>
      </c>
      <c r="B18" s="142" t="s">
        <v>33</v>
      </c>
      <c r="C18" s="141" t="s">
        <v>26</v>
      </c>
      <c r="D18" s="143" t="s">
        <v>29</v>
      </c>
      <c r="E18" s="144" t="s">
        <v>17</v>
      </c>
      <c r="G18" s="353" t="s">
        <v>71</v>
      </c>
      <c r="H18" s="354"/>
      <c r="I18" s="354"/>
      <c r="J18" s="355"/>
      <c r="K18" s="75">
        <f ca="1">MAX(ROUND(K17*$S$1,2),0)</f>
        <v>0</v>
      </c>
    </row>
    <row r="19" spans="1:14" ht="19.95" customHeight="1" thickBot="1" x14ac:dyDescent="0.35">
      <c r="A19" s="1"/>
      <c r="B19" s="2"/>
      <c r="C19" s="100">
        <f>IF((ISBLANK(A19)=TRUE),0,DATEDIF(A19,B19+1,"Y"))</f>
        <v>0</v>
      </c>
      <c r="D19" s="101">
        <f t="shared" ref="D19:D29" si="3">IF((ISBLANK(A19)=TRUE),0,DATEDIF(A19,B19+1,"YM"))</f>
        <v>0</v>
      </c>
      <c r="E19" s="102">
        <f t="shared" ref="E19:E29" si="4">IF((ISBLANK(A19)=TRUE),0,DATEDIF(A19,B19+1,"MD"))</f>
        <v>0</v>
      </c>
      <c r="G19" s="356" t="s">
        <v>72</v>
      </c>
      <c r="H19" s="357"/>
      <c r="I19" s="357"/>
      <c r="J19" s="358"/>
      <c r="K19" s="76">
        <f ca="1">MAX(ROUND(ROUND(K17,0)*$T$1-$U$1,0),0)</f>
        <v>0</v>
      </c>
    </row>
    <row r="20" spans="1:14" ht="19.95" customHeight="1" thickBot="1" x14ac:dyDescent="0.35">
      <c r="A20" s="3"/>
      <c r="B20" s="7"/>
      <c r="C20" s="105">
        <f>IF((ISBLANK(A20)=TRUE),0,DATEDIF(A20,B20+1,"Y"))</f>
        <v>0</v>
      </c>
      <c r="D20" s="106">
        <f t="shared" si="3"/>
        <v>0</v>
      </c>
      <c r="E20" s="107">
        <f t="shared" si="4"/>
        <v>0</v>
      </c>
      <c r="G20" s="359" t="s">
        <v>97</v>
      </c>
      <c r="H20" s="360"/>
      <c r="I20" s="360"/>
      <c r="J20" s="361"/>
      <c r="K20" s="77">
        <f ca="1">K17-K18-K19</f>
        <v>0</v>
      </c>
    </row>
    <row r="21" spans="1:14" ht="19.95" customHeight="1" x14ac:dyDescent="0.3">
      <c r="A21" s="3"/>
      <c r="B21" s="7"/>
      <c r="C21" s="105">
        <f>IF((ISBLANK(A21)=TRUE),0,DATEDIF(A21,B21+1,"Y"))</f>
        <v>0</v>
      </c>
      <c r="D21" s="106">
        <f t="shared" si="3"/>
        <v>0</v>
      </c>
      <c r="E21" s="107">
        <f t="shared" si="4"/>
        <v>0</v>
      </c>
      <c r="G21" s="145"/>
      <c r="K21" s="44"/>
      <c r="L21" s="44"/>
    </row>
    <row r="22" spans="1:14" ht="19.95" customHeight="1" x14ac:dyDescent="0.3">
      <c r="A22" s="3"/>
      <c r="B22" s="7"/>
      <c r="C22" s="105">
        <f t="shared" ref="C22:C29" si="5">IF((ISBLANK(A22)=TRUE),0,DATEDIF(A22,B22+1,"Y"))</f>
        <v>0</v>
      </c>
      <c r="D22" s="106">
        <f t="shared" si="3"/>
        <v>0</v>
      </c>
      <c r="E22" s="107">
        <f t="shared" si="4"/>
        <v>0</v>
      </c>
      <c r="G22" s="146"/>
      <c r="K22" s="44"/>
      <c r="L22" s="44"/>
    </row>
    <row r="23" spans="1:14" ht="19.95" customHeight="1" x14ac:dyDescent="0.3">
      <c r="A23" s="3"/>
      <c r="B23" s="7"/>
      <c r="C23" s="105">
        <f t="shared" si="5"/>
        <v>0</v>
      </c>
      <c r="D23" s="106">
        <f t="shared" si="3"/>
        <v>0</v>
      </c>
      <c r="E23" s="107">
        <f t="shared" si="4"/>
        <v>0</v>
      </c>
      <c r="G23" s="343" t="s">
        <v>76</v>
      </c>
      <c r="H23" s="343"/>
      <c r="I23" s="343"/>
      <c r="J23" s="343"/>
      <c r="K23" s="343"/>
      <c r="L23" s="147"/>
      <c r="M23" s="104"/>
      <c r="N23" s="70"/>
    </row>
    <row r="24" spans="1:14" ht="19.95" customHeight="1" x14ac:dyDescent="0.3">
      <c r="A24" s="3"/>
      <c r="B24" s="7"/>
      <c r="C24" s="105">
        <f t="shared" si="5"/>
        <v>0</v>
      </c>
      <c r="D24" s="106">
        <f t="shared" si="3"/>
        <v>0</v>
      </c>
      <c r="E24" s="107">
        <f t="shared" si="4"/>
        <v>0</v>
      </c>
      <c r="G24" s="343"/>
      <c r="H24" s="343"/>
      <c r="I24" s="343"/>
      <c r="J24" s="343"/>
      <c r="K24" s="343"/>
      <c r="L24" s="147"/>
      <c r="M24" s="70"/>
      <c r="N24" s="104"/>
    </row>
    <row r="25" spans="1:14" ht="19.95" customHeight="1" x14ac:dyDescent="0.3">
      <c r="A25" s="3"/>
      <c r="B25" s="7"/>
      <c r="C25" s="105">
        <f t="shared" si="5"/>
        <v>0</v>
      </c>
      <c r="D25" s="106">
        <f t="shared" si="3"/>
        <v>0</v>
      </c>
      <c r="E25" s="107">
        <f t="shared" si="4"/>
        <v>0</v>
      </c>
      <c r="G25" s="343"/>
      <c r="H25" s="343"/>
      <c r="I25" s="343"/>
      <c r="J25" s="343"/>
      <c r="K25" s="343"/>
    </row>
    <row r="26" spans="1:14" ht="19.95" customHeight="1" x14ac:dyDescent="0.3">
      <c r="A26" s="3"/>
      <c r="B26" s="7"/>
      <c r="C26" s="105">
        <f t="shared" si="5"/>
        <v>0</v>
      </c>
      <c r="D26" s="106">
        <f t="shared" si="3"/>
        <v>0</v>
      </c>
      <c r="E26" s="107">
        <f t="shared" si="4"/>
        <v>0</v>
      </c>
    </row>
    <row r="27" spans="1:14" ht="19.95" customHeight="1" x14ac:dyDescent="0.3">
      <c r="A27" s="3"/>
      <c r="B27" s="7"/>
      <c r="C27" s="105">
        <f t="shared" si="5"/>
        <v>0</v>
      </c>
      <c r="D27" s="106">
        <f t="shared" si="3"/>
        <v>0</v>
      </c>
      <c r="E27" s="107">
        <f t="shared" si="4"/>
        <v>0</v>
      </c>
      <c r="I27" s="362"/>
      <c r="J27" s="362"/>
      <c r="K27" s="362"/>
    </row>
    <row r="28" spans="1:14" ht="19.95" customHeight="1" x14ac:dyDescent="0.3">
      <c r="A28" s="3"/>
      <c r="B28" s="7"/>
      <c r="C28" s="105">
        <f t="shared" si="5"/>
        <v>0</v>
      </c>
      <c r="D28" s="106">
        <f t="shared" si="3"/>
        <v>0</v>
      </c>
      <c r="E28" s="107">
        <f t="shared" si="4"/>
        <v>0</v>
      </c>
      <c r="J28" s="148"/>
      <c r="K28" s="149"/>
    </row>
    <row r="29" spans="1:14" ht="19.95" customHeight="1" thickBot="1" x14ac:dyDescent="0.35">
      <c r="A29" s="5"/>
      <c r="B29" s="8"/>
      <c r="C29" s="136">
        <f t="shared" si="5"/>
        <v>0</v>
      </c>
      <c r="D29" s="137">
        <f t="shared" si="3"/>
        <v>0</v>
      </c>
      <c r="E29" s="138">
        <f t="shared" si="4"/>
        <v>0</v>
      </c>
    </row>
    <row r="30" spans="1:14" ht="19.95" customHeight="1" thickBot="1" x14ac:dyDescent="0.35">
      <c r="A30" s="317" t="s">
        <v>30</v>
      </c>
      <c r="B30" s="318"/>
      <c r="C30" s="150">
        <f>SUM(C19:C29)+INT((SUM(D19:D29)+INT(SUM(E19:E29)/30))/12)</f>
        <v>0</v>
      </c>
      <c r="D30" s="151">
        <f>MOD(SUM(D19:D29)+INT(SUM(E19:E29)/30),12)</f>
        <v>0</v>
      </c>
      <c r="E30" s="152">
        <f>MOD(SUM(E19:E29),30)</f>
        <v>0</v>
      </c>
      <c r="H30" s="153"/>
    </row>
    <row r="31" spans="1:14" ht="19.95" customHeight="1" thickBot="1" x14ac:dyDescent="0.35">
      <c r="A31" s="154"/>
      <c r="B31" s="154"/>
      <c r="C31" s="38"/>
      <c r="D31" s="38"/>
      <c r="E31" s="38"/>
      <c r="G31" s="70"/>
      <c r="H31" s="132"/>
      <c r="I31" s="132"/>
      <c r="J31" s="132"/>
      <c r="K31" s="70"/>
    </row>
    <row r="32" spans="1:14" ht="19.95" customHeight="1" thickBot="1" x14ac:dyDescent="0.35">
      <c r="A32" s="319" t="s">
        <v>58</v>
      </c>
      <c r="B32" s="327"/>
      <c r="C32" s="327"/>
      <c r="D32" s="327"/>
      <c r="E32" s="328"/>
      <c r="G32" s="70"/>
      <c r="H32" s="132"/>
      <c r="I32" s="132"/>
      <c r="J32" s="132"/>
      <c r="K32" s="70"/>
    </row>
    <row r="33" spans="1:11" ht="19.95" customHeight="1" thickBot="1" x14ac:dyDescent="0.35">
      <c r="A33" s="155" t="s">
        <v>32</v>
      </c>
      <c r="B33" s="156" t="s">
        <v>33</v>
      </c>
      <c r="C33" s="155" t="s">
        <v>26</v>
      </c>
      <c r="D33" s="157" t="s">
        <v>29</v>
      </c>
      <c r="E33" s="158" t="s">
        <v>17</v>
      </c>
      <c r="G33" s="70"/>
      <c r="H33" s="132"/>
      <c r="I33" s="132"/>
      <c r="J33" s="132"/>
      <c r="K33" s="70"/>
    </row>
    <row r="34" spans="1:11" ht="19.95" customHeight="1" x14ac:dyDescent="0.3">
      <c r="A34" s="1"/>
      <c r="B34" s="2"/>
      <c r="C34" s="100">
        <f>IF((ISBLANK(A34)=TRUE),0,DATEDIF(A34,B34+1,"Y"))</f>
        <v>0</v>
      </c>
      <c r="D34" s="101">
        <f t="shared" ref="D34:D44" si="6">IF((ISBLANK(A34)=TRUE),0,DATEDIF(A34,B34+1,"YM"))</f>
        <v>0</v>
      </c>
      <c r="E34" s="102">
        <f t="shared" ref="E34:E44" si="7">IF((ISBLANK(A34)=TRUE),0,DATEDIF(A34,B34+1,"MD"))</f>
        <v>0</v>
      </c>
      <c r="G34" s="70"/>
      <c r="H34" s="132"/>
      <c r="I34" s="132"/>
      <c r="J34" s="132"/>
      <c r="K34" s="70"/>
    </row>
    <row r="35" spans="1:11" ht="19.95" customHeight="1" x14ac:dyDescent="0.3">
      <c r="A35" s="3"/>
      <c r="B35" s="7"/>
      <c r="C35" s="105">
        <f>IF((ISBLANK(A35)=TRUE),0,DATEDIF(A35,B35+1,"Y"))</f>
        <v>0</v>
      </c>
      <c r="D35" s="106">
        <f t="shared" si="6"/>
        <v>0</v>
      </c>
      <c r="E35" s="107">
        <f t="shared" si="7"/>
        <v>0</v>
      </c>
      <c r="G35" s="363"/>
      <c r="H35" s="363"/>
      <c r="I35" s="132"/>
      <c r="J35" s="132"/>
      <c r="K35" s="70"/>
    </row>
    <row r="36" spans="1:11" ht="19.95" customHeight="1" x14ac:dyDescent="0.3">
      <c r="A36" s="3"/>
      <c r="B36" s="7"/>
      <c r="C36" s="105">
        <f>IF((ISBLANK(A36)=TRUE),0,DATEDIF(A36,B36+1,"Y"))</f>
        <v>0</v>
      </c>
      <c r="D36" s="106">
        <f t="shared" si="6"/>
        <v>0</v>
      </c>
      <c r="E36" s="107">
        <f t="shared" si="7"/>
        <v>0</v>
      </c>
      <c r="G36" s="70"/>
      <c r="H36" s="132"/>
      <c r="I36" s="132"/>
      <c r="J36" s="132"/>
      <c r="K36" s="70"/>
    </row>
    <row r="37" spans="1:11" ht="19.95" customHeight="1" x14ac:dyDescent="0.3">
      <c r="A37" s="3"/>
      <c r="B37" s="7"/>
      <c r="C37" s="105">
        <f t="shared" ref="C37:C44" si="8">IF((ISBLANK(A37)=TRUE),0,DATEDIF(A37,B37+1,"Y"))</f>
        <v>0</v>
      </c>
      <c r="D37" s="106">
        <f t="shared" si="6"/>
        <v>0</v>
      </c>
      <c r="E37" s="107">
        <f t="shared" si="7"/>
        <v>0</v>
      </c>
      <c r="G37" s="350"/>
      <c r="H37" s="350"/>
      <c r="I37" s="350"/>
      <c r="J37" s="350"/>
      <c r="K37" s="70"/>
    </row>
    <row r="38" spans="1:11" ht="19.95" customHeight="1" x14ac:dyDescent="0.3">
      <c r="A38" s="3"/>
      <c r="B38" s="7"/>
      <c r="C38" s="105">
        <f t="shared" si="8"/>
        <v>0</v>
      </c>
      <c r="D38" s="106">
        <f t="shared" si="6"/>
        <v>0</v>
      </c>
      <c r="E38" s="107">
        <f t="shared" si="7"/>
        <v>0</v>
      </c>
      <c r="G38" s="344"/>
      <c r="H38" s="344"/>
      <c r="I38" s="344"/>
      <c r="J38" s="344"/>
      <c r="K38" s="70"/>
    </row>
    <row r="39" spans="1:11" ht="19.95" customHeight="1" x14ac:dyDescent="0.3">
      <c r="A39" s="3"/>
      <c r="B39" s="7"/>
      <c r="C39" s="105">
        <f t="shared" si="8"/>
        <v>0</v>
      </c>
      <c r="D39" s="106">
        <f t="shared" si="6"/>
        <v>0</v>
      </c>
      <c r="E39" s="107">
        <f t="shared" si="7"/>
        <v>0</v>
      </c>
      <c r="G39" s="345"/>
      <c r="H39" s="345"/>
      <c r="I39" s="345"/>
      <c r="J39" s="345"/>
      <c r="K39" s="70"/>
    </row>
    <row r="40" spans="1:11" ht="19.95" customHeight="1" x14ac:dyDescent="0.3">
      <c r="A40" s="3"/>
      <c r="B40" s="7"/>
      <c r="C40" s="105">
        <f t="shared" si="8"/>
        <v>0</v>
      </c>
      <c r="D40" s="106">
        <f t="shared" si="6"/>
        <v>0</v>
      </c>
      <c r="E40" s="107">
        <f t="shared" si="7"/>
        <v>0</v>
      </c>
      <c r="G40" s="346"/>
      <c r="H40" s="346"/>
      <c r="I40" s="346"/>
      <c r="J40" s="346"/>
      <c r="K40" s="70"/>
    </row>
    <row r="41" spans="1:11" ht="19.95" customHeight="1" x14ac:dyDescent="0.3">
      <c r="A41" s="3"/>
      <c r="B41" s="7"/>
      <c r="C41" s="105">
        <f t="shared" si="8"/>
        <v>0</v>
      </c>
      <c r="D41" s="106">
        <f t="shared" si="6"/>
        <v>0</v>
      </c>
      <c r="E41" s="107">
        <f t="shared" si="7"/>
        <v>0</v>
      </c>
      <c r="G41" s="346"/>
      <c r="H41" s="346"/>
      <c r="I41" s="346"/>
      <c r="J41" s="346"/>
      <c r="K41" s="70"/>
    </row>
    <row r="42" spans="1:11" ht="19.95" customHeight="1" x14ac:dyDescent="0.3">
      <c r="A42" s="3"/>
      <c r="B42" s="7"/>
      <c r="C42" s="105">
        <f t="shared" si="8"/>
        <v>0</v>
      </c>
      <c r="D42" s="106">
        <f t="shared" si="6"/>
        <v>0</v>
      </c>
      <c r="E42" s="107">
        <f t="shared" si="7"/>
        <v>0</v>
      </c>
      <c r="G42" s="346"/>
      <c r="H42" s="346"/>
      <c r="I42" s="346"/>
      <c r="J42" s="346"/>
      <c r="K42" s="70"/>
    </row>
    <row r="43" spans="1:11" ht="19.95" customHeight="1" x14ac:dyDescent="0.3">
      <c r="A43" s="3"/>
      <c r="B43" s="7"/>
      <c r="C43" s="105">
        <f t="shared" si="8"/>
        <v>0</v>
      </c>
      <c r="D43" s="106">
        <f t="shared" si="6"/>
        <v>0</v>
      </c>
      <c r="E43" s="107">
        <f t="shared" si="7"/>
        <v>0</v>
      </c>
      <c r="G43" s="346"/>
      <c r="H43" s="346"/>
      <c r="I43" s="346"/>
      <c r="J43" s="346"/>
      <c r="K43" s="70"/>
    </row>
    <row r="44" spans="1:11" ht="19.95" customHeight="1" thickBot="1" x14ac:dyDescent="0.35">
      <c r="A44" s="5"/>
      <c r="B44" s="8"/>
      <c r="C44" s="136">
        <f t="shared" si="8"/>
        <v>0</v>
      </c>
      <c r="D44" s="137">
        <f t="shared" si="6"/>
        <v>0</v>
      </c>
      <c r="E44" s="138">
        <f t="shared" si="7"/>
        <v>0</v>
      </c>
      <c r="G44" s="346"/>
      <c r="H44" s="346"/>
      <c r="I44" s="346"/>
      <c r="J44" s="346"/>
      <c r="K44" s="70"/>
    </row>
    <row r="45" spans="1:11" ht="19.95" customHeight="1" thickBot="1" x14ac:dyDescent="0.35">
      <c r="A45" s="319" t="s">
        <v>30</v>
      </c>
      <c r="B45" s="320"/>
      <c r="C45" s="159">
        <f>SUM(C34:C44)+INT((SUM(D34:D44)+INT(SUM(E34:E44)/30))/12)</f>
        <v>0</v>
      </c>
      <c r="D45" s="160">
        <f>MOD(SUM(D34:D44)+INT(SUM(E34:E44)/30),12)</f>
        <v>0</v>
      </c>
      <c r="E45" s="161">
        <f>MOD(SUM(E34:E44),30)</f>
        <v>0</v>
      </c>
      <c r="G45" s="70"/>
      <c r="H45" s="132"/>
      <c r="I45" s="132"/>
      <c r="J45" s="132"/>
      <c r="K45" s="70"/>
    </row>
    <row r="46" spans="1:11" ht="19.95" customHeight="1" thickBot="1" x14ac:dyDescent="0.35">
      <c r="A46" s="154"/>
      <c r="B46" s="154"/>
      <c r="C46" s="38"/>
      <c r="D46" s="38"/>
      <c r="E46" s="38"/>
      <c r="G46" s="364"/>
      <c r="H46" s="364"/>
      <c r="I46" s="364"/>
      <c r="J46" s="364"/>
      <c r="K46" s="70"/>
    </row>
    <row r="47" spans="1:11" ht="28.2" customHeight="1" thickBot="1" x14ac:dyDescent="0.35">
      <c r="A47" s="329" t="s">
        <v>77</v>
      </c>
      <c r="B47" s="330"/>
      <c r="C47" s="330"/>
      <c r="D47" s="330"/>
      <c r="E47" s="331"/>
      <c r="G47" s="364"/>
      <c r="H47" s="364"/>
      <c r="I47" s="364"/>
      <c r="J47" s="364"/>
      <c r="K47" s="70"/>
    </row>
    <row r="48" spans="1:11" ht="19.95" customHeight="1" thickBot="1" x14ac:dyDescent="0.35">
      <c r="A48" s="162" t="s">
        <v>32</v>
      </c>
      <c r="B48" s="163" t="s">
        <v>33</v>
      </c>
      <c r="C48" s="162" t="s">
        <v>26</v>
      </c>
      <c r="D48" s="164" t="s">
        <v>29</v>
      </c>
      <c r="E48" s="165" t="s">
        <v>17</v>
      </c>
      <c r="G48" s="166"/>
      <c r="H48" s="166"/>
      <c r="I48" s="166"/>
      <c r="J48" s="166"/>
      <c r="K48" s="70"/>
    </row>
    <row r="49" spans="1:11" ht="19.95" customHeight="1" x14ac:dyDescent="0.3">
      <c r="A49" s="1"/>
      <c r="B49" s="2"/>
      <c r="C49" s="167">
        <f>IF( B49&gt;$B$62,"błąd",IF((ISBLANK(A49)=TRUE),0,DATEDIF(A49,B49+1,"Y")))</f>
        <v>0</v>
      </c>
      <c r="D49" s="168">
        <f>IF(B49&gt;$B$62, "błąd",IF((ISBLANK(A49)=TRUE),0,DATEDIF(A49,B49+1,"YM")))</f>
        <v>0</v>
      </c>
      <c r="E49" s="169">
        <f>IF(B49&gt;$B$62,"błąd",IF((ISBLANK(A49)=TRUE),0,DATEDIF(A49,B49+1,"MD")))</f>
        <v>0</v>
      </c>
      <c r="G49" s="170"/>
      <c r="H49" s="170"/>
      <c r="I49" s="170"/>
      <c r="J49" s="170"/>
      <c r="K49" s="70"/>
    </row>
    <row r="50" spans="1:11" ht="19.95" customHeight="1" x14ac:dyDescent="0.3">
      <c r="A50" s="3"/>
      <c r="B50" s="7"/>
      <c r="C50" s="167">
        <f>IF( B50&gt;$B$62,"błąd",IF((ISBLANK(A50)=TRUE),0,DATEDIF(A50,B50+1,"Y")))</f>
        <v>0</v>
      </c>
      <c r="D50" s="168">
        <f>IF(B50&gt;$B$62, "błąd",IF((ISBLANK(A50)=TRUE),0,DATEDIF(A50,B50+1,"YM")))</f>
        <v>0</v>
      </c>
      <c r="E50" s="169">
        <f>IF(B50&gt;$B$62,"błąd",IF((ISBLANK(A50)=TRUE),0,DATEDIF(A50,B50+1,"MD")))</f>
        <v>0</v>
      </c>
      <c r="G50" s="108"/>
      <c r="H50" s="108"/>
      <c r="I50" s="108"/>
      <c r="J50" s="108"/>
      <c r="K50" s="70"/>
    </row>
    <row r="51" spans="1:11" ht="19.95" customHeight="1" x14ac:dyDescent="0.3">
      <c r="A51" s="3"/>
      <c r="B51" s="7"/>
      <c r="C51" s="167">
        <f t="shared" ref="C51:C59" si="9">IF( B51&gt;$B$62,"błąd",IF((ISBLANK(A51)=TRUE),0,DATEDIF(A51,B51+1,"Y")))</f>
        <v>0</v>
      </c>
      <c r="D51" s="168">
        <f t="shared" ref="D51:D59" si="10">IF(B51&gt;$B$62, "błąd",IF((ISBLANK(A51)=TRUE),0,DATEDIF(A51,B51+1,"YM")))</f>
        <v>0</v>
      </c>
      <c r="E51" s="169">
        <f t="shared" ref="E51:E59" si="11">IF(B51&gt;$B$62,"błąd",IF((ISBLANK(A51)=TRUE),0,DATEDIF(A51,B51+1,"MD")))</f>
        <v>0</v>
      </c>
      <c r="G51" s="171"/>
      <c r="H51" s="171"/>
      <c r="I51" s="171"/>
      <c r="J51" s="171"/>
      <c r="K51" s="70"/>
    </row>
    <row r="52" spans="1:11" ht="19.95" customHeight="1" x14ac:dyDescent="0.3">
      <c r="A52" s="3"/>
      <c r="B52" s="7"/>
      <c r="C52" s="167">
        <f t="shared" si="9"/>
        <v>0</v>
      </c>
      <c r="D52" s="168">
        <f t="shared" si="10"/>
        <v>0</v>
      </c>
      <c r="E52" s="169">
        <f t="shared" si="11"/>
        <v>0</v>
      </c>
      <c r="G52" s="171"/>
      <c r="H52" s="171"/>
      <c r="I52" s="171"/>
      <c r="J52" s="171"/>
      <c r="K52" s="70"/>
    </row>
    <row r="53" spans="1:11" ht="19.95" customHeight="1" x14ac:dyDescent="0.3">
      <c r="A53" s="3"/>
      <c r="B53" s="7"/>
      <c r="C53" s="167">
        <f t="shared" si="9"/>
        <v>0</v>
      </c>
      <c r="D53" s="168">
        <f t="shared" si="10"/>
        <v>0</v>
      </c>
      <c r="E53" s="169">
        <f t="shared" si="11"/>
        <v>0</v>
      </c>
      <c r="G53" s="70"/>
      <c r="H53" s="132"/>
      <c r="I53" s="132"/>
      <c r="J53" s="132"/>
      <c r="K53" s="70"/>
    </row>
    <row r="54" spans="1:11" ht="19.95" customHeight="1" x14ac:dyDescent="0.3">
      <c r="A54" s="3"/>
      <c r="B54" s="7"/>
      <c r="C54" s="167">
        <f t="shared" si="9"/>
        <v>0</v>
      </c>
      <c r="D54" s="168">
        <f t="shared" si="10"/>
        <v>0</v>
      </c>
      <c r="E54" s="169">
        <f t="shared" si="11"/>
        <v>0</v>
      </c>
      <c r="G54" s="70"/>
      <c r="H54" s="132"/>
      <c r="I54" s="132"/>
      <c r="J54" s="132"/>
      <c r="K54" s="70"/>
    </row>
    <row r="55" spans="1:11" ht="19.95" customHeight="1" x14ac:dyDescent="0.3">
      <c r="A55" s="3"/>
      <c r="B55" s="7"/>
      <c r="C55" s="167">
        <f t="shared" si="9"/>
        <v>0</v>
      </c>
      <c r="D55" s="168">
        <f t="shared" si="10"/>
        <v>0</v>
      </c>
      <c r="E55" s="169">
        <f t="shared" si="11"/>
        <v>0</v>
      </c>
      <c r="G55" s="70"/>
      <c r="H55" s="132"/>
      <c r="I55" s="132"/>
      <c r="J55" s="132"/>
      <c r="K55" s="70"/>
    </row>
    <row r="56" spans="1:11" ht="19.95" customHeight="1" x14ac:dyDescent="0.3">
      <c r="A56" s="3"/>
      <c r="B56" s="7"/>
      <c r="C56" s="167">
        <f t="shared" si="9"/>
        <v>0</v>
      </c>
      <c r="D56" s="168">
        <f t="shared" si="10"/>
        <v>0</v>
      </c>
      <c r="E56" s="169">
        <f t="shared" si="11"/>
        <v>0</v>
      </c>
      <c r="G56" s="70"/>
      <c r="H56" s="132"/>
      <c r="I56" s="132"/>
      <c r="J56" s="132"/>
      <c r="K56" s="70"/>
    </row>
    <row r="57" spans="1:11" ht="19.95" customHeight="1" x14ac:dyDescent="0.3">
      <c r="A57" s="3"/>
      <c r="B57" s="7"/>
      <c r="C57" s="167">
        <f t="shared" si="9"/>
        <v>0</v>
      </c>
      <c r="D57" s="168">
        <f t="shared" si="10"/>
        <v>0</v>
      </c>
      <c r="E57" s="169">
        <f t="shared" si="11"/>
        <v>0</v>
      </c>
      <c r="G57" s="70"/>
      <c r="H57" s="132"/>
      <c r="I57" s="132"/>
      <c r="J57" s="132"/>
      <c r="K57" s="70"/>
    </row>
    <row r="58" spans="1:11" ht="19.95" customHeight="1" x14ac:dyDescent="0.3">
      <c r="A58" s="3"/>
      <c r="B58" s="7"/>
      <c r="C58" s="167">
        <f t="shared" si="9"/>
        <v>0</v>
      </c>
      <c r="D58" s="168">
        <f t="shared" si="10"/>
        <v>0</v>
      </c>
      <c r="E58" s="169">
        <f t="shared" si="11"/>
        <v>0</v>
      </c>
      <c r="G58" s="70"/>
      <c r="H58" s="132"/>
      <c r="I58" s="132"/>
      <c r="J58" s="132"/>
      <c r="K58" s="70"/>
    </row>
    <row r="59" spans="1:11" ht="19.95" customHeight="1" thickBot="1" x14ac:dyDescent="0.35">
      <c r="A59" s="5"/>
      <c r="B59" s="8"/>
      <c r="C59" s="167">
        <f t="shared" si="9"/>
        <v>0</v>
      </c>
      <c r="D59" s="168">
        <f t="shared" si="10"/>
        <v>0</v>
      </c>
      <c r="E59" s="169">
        <f t="shared" si="11"/>
        <v>0</v>
      </c>
      <c r="G59" s="70"/>
      <c r="H59" s="132"/>
      <c r="I59" s="132"/>
      <c r="J59" s="132"/>
      <c r="K59" s="70"/>
    </row>
    <row r="60" spans="1:11" ht="19.95" customHeight="1" thickBot="1" x14ac:dyDescent="0.35">
      <c r="A60" s="321" t="s">
        <v>34</v>
      </c>
      <c r="B60" s="322"/>
      <c r="C60" s="172">
        <f>SUM(C49:C59)+INT((SUM(D49:D59)+INT(SUM(E49:E59)/30))/12)</f>
        <v>0</v>
      </c>
      <c r="D60" s="172">
        <f>MOD(SUM(D49:D59)+INT(SUM(E49:E59)/30),12)</f>
        <v>0</v>
      </c>
      <c r="E60" s="173">
        <f>MOD(SUM(E49:E59),30)</f>
        <v>0</v>
      </c>
    </row>
    <row r="61" spans="1:11" ht="19.95" customHeight="1" thickBot="1" x14ac:dyDescent="0.35">
      <c r="A61" s="370" t="s">
        <v>35</v>
      </c>
      <c r="B61" s="371"/>
      <c r="C61" s="174">
        <f>INT(C60*1.5)+INT((D60+IF(MOD(C60*1.5,1)=0.5,6,0))/12)</f>
        <v>0</v>
      </c>
      <c r="D61" s="175">
        <f>MOD((D60+IF(MOD(C60*1.5,1)=0.5,6,0)),12)</f>
        <v>0</v>
      </c>
      <c r="E61" s="176">
        <f>E60</f>
        <v>0</v>
      </c>
    </row>
    <row r="62" spans="1:11" ht="19.95" customHeight="1" x14ac:dyDescent="0.3">
      <c r="A62" s="83"/>
      <c r="B62" s="177">
        <v>41274</v>
      </c>
      <c r="C62" s="178"/>
      <c r="D62" s="178"/>
      <c r="E62" s="178"/>
    </row>
    <row r="63" spans="1:11" ht="25.8" customHeight="1" thickBot="1" x14ac:dyDescent="0.35">
      <c r="A63" s="332" t="s">
        <v>59</v>
      </c>
      <c r="B63" s="332"/>
      <c r="C63" s="332"/>
      <c r="D63" s="332"/>
      <c r="E63" s="332"/>
    </row>
    <row r="64" spans="1:11" ht="22.8" customHeight="1" thickBot="1" x14ac:dyDescent="0.35">
      <c r="A64" s="367" t="s">
        <v>92</v>
      </c>
      <c r="B64" s="368"/>
      <c r="C64" s="179">
        <f>C15</f>
        <v>0</v>
      </c>
      <c r="D64" s="180">
        <f>D15</f>
        <v>0</v>
      </c>
      <c r="E64" s="181">
        <f>E15</f>
        <v>0</v>
      </c>
    </row>
    <row r="65" spans="1:5" ht="25.2" customHeight="1" thickBot="1" x14ac:dyDescent="0.35">
      <c r="A65" s="369" t="s">
        <v>69</v>
      </c>
      <c r="B65" s="337"/>
      <c r="C65" s="182">
        <f>C61</f>
        <v>0</v>
      </c>
      <c r="D65" s="183">
        <f>D61</f>
        <v>0</v>
      </c>
      <c r="E65" s="184">
        <f>E61</f>
        <v>0</v>
      </c>
    </row>
    <row r="66" spans="1:5" ht="29.4" customHeight="1" thickBot="1" x14ac:dyDescent="0.35">
      <c r="A66" s="365" t="s">
        <v>89</v>
      </c>
      <c r="B66" s="366"/>
      <c r="C66" s="185">
        <f>SUM(C64:C65)+INT((SUM(D64:D65)+INT(SUM(E64:E65)/30))/12)</f>
        <v>0</v>
      </c>
      <c r="D66" s="186">
        <f>MOD((D64+D65)+INT((E64+E65)/30),12)</f>
        <v>0</v>
      </c>
      <c r="E66" s="187">
        <f>MOD((E64+E65),30)</f>
        <v>0</v>
      </c>
    </row>
    <row r="68" spans="1:5" ht="21.6" customHeight="1" thickBot="1" x14ac:dyDescent="0.35">
      <c r="A68" s="332" t="s">
        <v>78</v>
      </c>
      <c r="B68" s="332"/>
      <c r="C68" s="332"/>
      <c r="D68" s="332"/>
      <c r="E68" s="332"/>
    </row>
    <row r="69" spans="1:5" ht="30.6" customHeight="1" thickBot="1" x14ac:dyDescent="0.35">
      <c r="A69" s="367" t="s">
        <v>91</v>
      </c>
      <c r="B69" s="368"/>
      <c r="C69" s="180">
        <f>C15</f>
        <v>0</v>
      </c>
      <c r="D69" s="180">
        <f t="shared" ref="D69:E69" si="12">D15</f>
        <v>0</v>
      </c>
      <c r="E69" s="181">
        <f t="shared" si="12"/>
        <v>0</v>
      </c>
    </row>
    <row r="70" spans="1:5" ht="32.4" customHeight="1" thickBot="1" x14ac:dyDescent="0.35">
      <c r="A70" s="369" t="s">
        <v>70</v>
      </c>
      <c r="B70" s="337"/>
      <c r="C70" s="183">
        <f>C60</f>
        <v>0</v>
      </c>
      <c r="D70" s="183">
        <f t="shared" ref="D70:E70" si="13">D60</f>
        <v>0</v>
      </c>
      <c r="E70" s="184">
        <f t="shared" si="13"/>
        <v>0</v>
      </c>
    </row>
    <row r="71" spans="1:5" ht="48.6" customHeight="1" thickBot="1" x14ac:dyDescent="0.35">
      <c r="A71" s="365" t="s">
        <v>90</v>
      </c>
      <c r="B71" s="366"/>
      <c r="C71" s="185">
        <f>SUM(C69:C70)+INT((SUM(D69:D70)+INT(SUM(E69:E70)/30))/12)</f>
        <v>0</v>
      </c>
      <c r="D71" s="186">
        <f>MOD((D69+D70)+INT((E69+E70)/30),12)</f>
        <v>0</v>
      </c>
      <c r="E71" s="187">
        <f>MOD((E69+E70),30)</f>
        <v>0</v>
      </c>
    </row>
  </sheetData>
  <sheetProtection algorithmName="SHA-512" hashValue="iZLvMVgb3H6rAPUliZXNpsZeSVb74xql7ThCdXXYWxAxsuOpFLQjP1M27GOM/l7OwsrFwoujpVqYx+xx6JaDXQ==" saltValue="XHAacFrEcimXZVaYLkZO3g==" spinCount="100000" sheet="1" objects="1" scenarios="1"/>
  <mergeCells count="42">
    <mergeCell ref="G46:J46"/>
    <mergeCell ref="G47:J47"/>
    <mergeCell ref="A71:B71"/>
    <mergeCell ref="A63:E63"/>
    <mergeCell ref="A68:E68"/>
    <mergeCell ref="A69:B69"/>
    <mergeCell ref="A70:B70"/>
    <mergeCell ref="A64:B64"/>
    <mergeCell ref="A65:B65"/>
    <mergeCell ref="A66:B66"/>
    <mergeCell ref="A61:B61"/>
    <mergeCell ref="G41:J41"/>
    <mergeCell ref="G35:H35"/>
    <mergeCell ref="G42:J42"/>
    <mergeCell ref="G43:J43"/>
    <mergeCell ref="G44:J44"/>
    <mergeCell ref="G23:K25"/>
    <mergeCell ref="G38:J38"/>
    <mergeCell ref="G39:J39"/>
    <mergeCell ref="G40:J40"/>
    <mergeCell ref="G13:J13"/>
    <mergeCell ref="G37:J37"/>
    <mergeCell ref="G17:J17"/>
    <mergeCell ref="G18:J18"/>
    <mergeCell ref="G19:J19"/>
    <mergeCell ref="G20:J20"/>
    <mergeCell ref="I27:K27"/>
    <mergeCell ref="A1:E1"/>
    <mergeCell ref="H10:J10"/>
    <mergeCell ref="G14:J14"/>
    <mergeCell ref="G15:J15"/>
    <mergeCell ref="A15:B15"/>
    <mergeCell ref="H1:K1"/>
    <mergeCell ref="H5:I5"/>
    <mergeCell ref="G12:K12"/>
    <mergeCell ref="A30:B30"/>
    <mergeCell ref="A45:B45"/>
    <mergeCell ref="A60:B60"/>
    <mergeCell ref="A2:E2"/>
    <mergeCell ref="A17:E17"/>
    <mergeCell ref="A32:E32"/>
    <mergeCell ref="A47:E47"/>
  </mergeCells>
  <pageMargins left="0.70866141732283472" right="0.70866141732283472" top="0.6692913385826772" bottom="0.43307086614173229" header="0.31496062992125984" footer="0.31496062992125984"/>
  <pageSetup paperSize="9" orientation="landscape" r:id="rId1"/>
  <headerFooter>
    <oddHeader xml:space="preserve">&amp;C&amp;"-,Pogrubiony"KALKULATOR EMERYTALNY 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Roboczy!$D$4:$D$6</xm:f>
          </x14:formula1>
          <xm:sqref>I4</xm:sqref>
        </x14:dataValidation>
        <x14:dataValidation type="list" allowBlank="1" showInputMessage="1" showErrorMessage="1">
          <x14:formula1>
            <xm:f>Roboczy!$A$1:$A$17</xm:f>
          </x14:formula1>
          <xm:sqref>I3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58"/>
  <sheetViews>
    <sheetView workbookViewId="0">
      <pane xSplit="5" ySplit="1" topLeftCell="F2" activePane="bottomRight" state="frozen"/>
      <selection activeCell="C4" sqref="C4"/>
      <selection pane="topRight" activeCell="C4" sqref="C4"/>
      <selection pane="bottomLeft" activeCell="C4" sqref="C4"/>
      <selection pane="bottomRight" activeCell="I4" sqref="I4"/>
    </sheetView>
  </sheetViews>
  <sheetFormatPr defaultRowHeight="14.4" x14ac:dyDescent="0.3"/>
  <cols>
    <col min="1" max="1" width="18.44140625" style="17" customWidth="1"/>
    <col min="2" max="2" width="23" style="17" customWidth="1"/>
    <col min="3" max="3" width="8.6640625" style="17" customWidth="1"/>
    <col min="4" max="4" width="7.5546875" style="17" customWidth="1"/>
    <col min="5" max="5" width="8.5546875" style="17" customWidth="1"/>
    <col min="6" max="6" width="6.33203125" style="17" customWidth="1"/>
    <col min="7" max="7" width="72.109375" style="44" customWidth="1"/>
    <col min="8" max="9" width="12.77734375" style="44" customWidth="1"/>
    <col min="10" max="10" width="12.77734375" style="17" hidden="1" customWidth="1"/>
    <col min="11" max="11" width="12.77734375" style="17" customWidth="1"/>
    <col min="12" max="12" width="10.88671875" style="17" hidden="1" customWidth="1"/>
    <col min="13" max="13" width="12.77734375" style="17" hidden="1" customWidth="1"/>
    <col min="14" max="14" width="11.44140625" style="17" hidden="1" customWidth="1"/>
    <col min="15" max="15" width="11.5546875" style="17" hidden="1" customWidth="1"/>
    <col min="16" max="16" width="15.109375" style="17" customWidth="1"/>
    <col min="17" max="16384" width="8.88671875" style="17"/>
  </cols>
  <sheetData>
    <row r="1" spans="1:20" ht="24" customHeight="1" thickBot="1" x14ac:dyDescent="0.35">
      <c r="A1" s="332" t="s">
        <v>82</v>
      </c>
      <c r="B1" s="332"/>
      <c r="C1" s="332"/>
      <c r="D1" s="332"/>
      <c r="E1" s="332"/>
      <c r="G1" s="83" t="s">
        <v>39</v>
      </c>
      <c r="H1" s="188" t="s">
        <v>73</v>
      </c>
      <c r="I1" s="38"/>
      <c r="J1" s="38"/>
      <c r="K1" s="38"/>
      <c r="L1" s="189">
        <v>36161</v>
      </c>
      <c r="M1" s="189">
        <v>36162</v>
      </c>
      <c r="N1" s="189">
        <v>37895</v>
      </c>
      <c r="O1" s="189">
        <v>41275</v>
      </c>
      <c r="R1" s="85">
        <v>0.09</v>
      </c>
      <c r="S1" s="85">
        <v>0.12</v>
      </c>
      <c r="T1" s="86">
        <v>300</v>
      </c>
    </row>
    <row r="2" spans="1:20" ht="19.95" customHeight="1" thickBot="1" x14ac:dyDescent="0.35">
      <c r="A2" s="260" t="s">
        <v>56</v>
      </c>
      <c r="B2" s="323"/>
      <c r="C2" s="323"/>
      <c r="D2" s="323"/>
      <c r="E2" s="324"/>
      <c r="G2" s="190" t="s">
        <v>68</v>
      </c>
      <c r="H2" s="88" t="s">
        <v>14</v>
      </c>
      <c r="I2" s="89" t="s">
        <v>0</v>
      </c>
      <c r="J2" s="90"/>
      <c r="K2" s="91" t="s">
        <v>36</v>
      </c>
      <c r="L2" s="92"/>
    </row>
    <row r="3" spans="1:20" ht="19.95" customHeight="1" thickBot="1" x14ac:dyDescent="0.35">
      <c r="A3" s="93" t="s">
        <v>32</v>
      </c>
      <c r="B3" s="94" t="s">
        <v>33</v>
      </c>
      <c r="C3" s="93" t="s">
        <v>26</v>
      </c>
      <c r="D3" s="95" t="s">
        <v>29</v>
      </c>
      <c r="E3" s="94" t="s">
        <v>17</v>
      </c>
      <c r="G3" s="96" t="s">
        <v>25</v>
      </c>
      <c r="H3" s="12"/>
      <c r="I3" s="10"/>
      <c r="J3" s="90"/>
      <c r="K3" s="97" t="str">
        <f>IF(AND($H$3&lt;$N$1,$H$3&gt;$L$1),"art.15aa","poza_zakresem")</f>
        <v>poza_zakresem</v>
      </c>
      <c r="L3" s="92"/>
    </row>
    <row r="4" spans="1:20" ht="19.95" customHeight="1" thickBot="1" x14ac:dyDescent="0.35">
      <c r="A4" s="1"/>
      <c r="B4" s="2"/>
      <c r="C4" s="100">
        <f>IF((ISBLANK(A4)=TRUE),0,DATEDIF(A4,B4+1,"Y"))</f>
        <v>0</v>
      </c>
      <c r="D4" s="101">
        <f>IF((ISBLANK(A4)=TRUE),0,DATEDIF(A4,B4+1,"YM"))</f>
        <v>0</v>
      </c>
      <c r="E4" s="102">
        <f>IF((ISBLANK(A4)=TRUE),0,DATEDIF(A4,B4+1,"MD"))</f>
        <v>0</v>
      </c>
      <c r="G4" s="103" t="s">
        <v>99</v>
      </c>
      <c r="H4" s="73">
        <f>'Podstawa wymiaru 10 lat SC_SCS'!A44</f>
        <v>44562</v>
      </c>
      <c r="I4" s="11" t="s">
        <v>11</v>
      </c>
      <c r="J4" s="90"/>
      <c r="K4" s="104"/>
      <c r="L4" s="92"/>
    </row>
    <row r="5" spans="1:20" ht="19.95" customHeight="1" thickBot="1" x14ac:dyDescent="0.35">
      <c r="A5" s="1"/>
      <c r="B5" s="2"/>
      <c r="C5" s="105">
        <f>IF((ISBLANK(A5)=TRUE),0,DATEDIF(A5,B5+1,"Y"))</f>
        <v>0</v>
      </c>
      <c r="D5" s="106">
        <f>IF((ISBLANK(A5)=TRUE),0,DATEDIF(A5,B5+1,"YM"))</f>
        <v>0</v>
      </c>
      <c r="E5" s="107">
        <f>IF((ISBLANK(A5)=TRUE),0,DATEDIF(A5,B5+1,"MD"))</f>
        <v>0</v>
      </c>
      <c r="G5" s="108"/>
      <c r="H5" s="191"/>
      <c r="I5" s="191"/>
      <c r="J5" s="90"/>
      <c r="K5" s="92"/>
      <c r="L5" s="92"/>
    </row>
    <row r="6" spans="1:20" ht="19.95" customHeight="1" thickBot="1" x14ac:dyDescent="0.35">
      <c r="A6" s="1"/>
      <c r="B6" s="2"/>
      <c r="C6" s="105">
        <f>IF((ISBLANK(A6)=TRUE),0,DATEDIF(A6,B6+1,"Y"))</f>
        <v>0</v>
      </c>
      <c r="D6" s="106">
        <f>IF((ISBLANK(A6)=TRUE),0,DATEDIF(A6,B6+1,"YM"))</f>
        <v>0</v>
      </c>
      <c r="E6" s="107">
        <f>IF((ISBLANK(A6)=TRUE),0,DATEDIF(A6,B6+1,"MD"))</f>
        <v>0</v>
      </c>
      <c r="G6" s="109" t="s">
        <v>53</v>
      </c>
      <c r="H6" s="110" t="s">
        <v>15</v>
      </c>
      <c r="I6" s="111" t="s">
        <v>16</v>
      </c>
      <c r="J6" s="112" t="s">
        <v>17</v>
      </c>
      <c r="K6" s="113" t="s">
        <v>28</v>
      </c>
      <c r="L6" s="114"/>
    </row>
    <row r="7" spans="1:20" ht="19.95" customHeight="1" x14ac:dyDescent="0.3">
      <c r="A7" s="3"/>
      <c r="B7" s="4"/>
      <c r="C7" s="105">
        <f t="shared" ref="C7:C14" si="0">IF((ISBLANK(A7)=TRUE),0,DATEDIF(A7,B7+1,"Y"))</f>
        <v>0</v>
      </c>
      <c r="D7" s="106">
        <f t="shared" ref="D7:D14" si="1">IF((ISBLANK(A7)=TRUE),0,DATEDIF(A7,B7+1,"YM"))</f>
        <v>0</v>
      </c>
      <c r="E7" s="107">
        <f t="shared" ref="E7:E14" si="2">IF((ISBLANK(A7)=TRUE),0,DATEDIF(A7,B7+1,"MD"))</f>
        <v>0</v>
      </c>
      <c r="G7" s="117" t="s">
        <v>38</v>
      </c>
      <c r="H7" s="192">
        <f>C53</f>
        <v>0</v>
      </c>
      <c r="I7" s="193">
        <f>D53</f>
        <v>0</v>
      </c>
      <c r="J7" s="194">
        <f>E53</f>
        <v>0</v>
      </c>
      <c r="K7" s="195" t="str">
        <f>IF(C58&lt;15, "brak prawa",ROUND(0.4+(H7-15)*0.026+I7*0.026/12,4))</f>
        <v>brak prawa</v>
      </c>
      <c r="L7" s="72"/>
    </row>
    <row r="8" spans="1:20" ht="19.95" customHeight="1" thickBot="1" x14ac:dyDescent="0.35">
      <c r="A8" s="3"/>
      <c r="B8" s="4"/>
      <c r="C8" s="105">
        <f t="shared" si="0"/>
        <v>0</v>
      </c>
      <c r="D8" s="106">
        <f t="shared" si="1"/>
        <v>0</v>
      </c>
      <c r="E8" s="107">
        <f t="shared" si="2"/>
        <v>0</v>
      </c>
      <c r="G8" s="196" t="s">
        <v>42</v>
      </c>
      <c r="H8" s="197">
        <f>IF($H$3&lt;$N$1,C30,0)</f>
        <v>0</v>
      </c>
      <c r="I8" s="197">
        <f>IF($H$3&lt;$N$1,D30,0)</f>
        <v>0</v>
      </c>
      <c r="J8" s="197">
        <f>IF($H$3&lt;$N$1,E30,0)</f>
        <v>0</v>
      </c>
      <c r="K8" s="198">
        <f>IF(H7&lt;25,0,ROUND(H8*0.013+I8*0.013/12,4))</f>
        <v>0</v>
      </c>
      <c r="L8" s="72"/>
      <c r="P8" s="199" t="str">
        <f>IF(H7&lt;25,"brak 25 lat służby","-")</f>
        <v>brak 25 lat służby</v>
      </c>
    </row>
    <row r="9" spans="1:20" ht="19.95" customHeight="1" thickBot="1" x14ac:dyDescent="0.35">
      <c r="A9" s="3"/>
      <c r="B9" s="4"/>
      <c r="C9" s="105">
        <f t="shared" si="0"/>
        <v>0</v>
      </c>
      <c r="D9" s="106">
        <f t="shared" si="1"/>
        <v>0</v>
      </c>
      <c r="E9" s="107">
        <f t="shared" si="2"/>
        <v>0</v>
      </c>
      <c r="G9" s="131"/>
      <c r="H9" s="285" t="s">
        <v>27</v>
      </c>
      <c r="I9" s="286"/>
      <c r="J9" s="200"/>
      <c r="K9" s="198">
        <f>MIN(SUM(K7:K8),0.75)</f>
        <v>0</v>
      </c>
      <c r="L9" s="130"/>
    </row>
    <row r="10" spans="1:20" ht="19.95" customHeight="1" x14ac:dyDescent="0.3">
      <c r="A10" s="3"/>
      <c r="B10" s="4"/>
      <c r="C10" s="105">
        <f t="shared" si="0"/>
        <v>0</v>
      </c>
      <c r="D10" s="106">
        <f>IF((ISBLANK(A10)=TRUE),0,DATEDIF(A10,B10+1,"YM"))</f>
        <v>0</v>
      </c>
      <c r="E10" s="107">
        <f>IF((ISBLANK(A10)=TRUE),0,DATEDIF(A10,B10+1,"MD"))</f>
        <v>0</v>
      </c>
      <c r="G10" s="131"/>
      <c r="H10" s="132"/>
      <c r="I10" s="132"/>
      <c r="J10" s="132"/>
      <c r="K10" s="133"/>
      <c r="L10" s="130"/>
    </row>
    <row r="11" spans="1:20" ht="19.95" customHeight="1" thickBot="1" x14ac:dyDescent="0.35">
      <c r="A11" s="3"/>
      <c r="B11" s="4"/>
      <c r="C11" s="105">
        <f t="shared" si="0"/>
        <v>0</v>
      </c>
      <c r="D11" s="106">
        <f>IF((ISBLANK(A11)=TRUE),0,DATEDIF(A11,B11+1,"YM"))</f>
        <v>0</v>
      </c>
      <c r="E11" s="107">
        <f>IF((ISBLANK(A11)=TRUE),0,DATEDIF(A11,B11+1,"MD"))</f>
        <v>0</v>
      </c>
      <c r="G11" s="342" t="s">
        <v>103</v>
      </c>
      <c r="H11" s="342"/>
      <c r="I11" s="342"/>
      <c r="J11" s="342"/>
      <c r="K11" s="342"/>
      <c r="L11" s="130"/>
    </row>
    <row r="12" spans="1:20" ht="19.95" customHeight="1" thickBot="1" x14ac:dyDescent="0.35">
      <c r="A12" s="3"/>
      <c r="B12" s="4"/>
      <c r="C12" s="105">
        <f t="shared" si="0"/>
        <v>0</v>
      </c>
      <c r="D12" s="106">
        <f t="shared" si="1"/>
        <v>0</v>
      </c>
      <c r="E12" s="107">
        <f t="shared" si="2"/>
        <v>0</v>
      </c>
      <c r="G12" s="347" t="s">
        <v>104</v>
      </c>
      <c r="H12" s="348"/>
      <c r="I12" s="348"/>
      <c r="J12" s="349"/>
      <c r="K12" s="78">
        <f>'Podstawa wymiaru 10 lat SC_SCS'!B44</f>
        <v>6996.26</v>
      </c>
      <c r="M12" s="130"/>
    </row>
    <row r="13" spans="1:20" ht="19.95" customHeight="1" thickBot="1" x14ac:dyDescent="0.35">
      <c r="A13" s="3"/>
      <c r="B13" s="4"/>
      <c r="C13" s="105">
        <f t="shared" si="0"/>
        <v>0</v>
      </c>
      <c r="D13" s="106">
        <f t="shared" si="1"/>
        <v>0</v>
      </c>
      <c r="E13" s="107">
        <f t="shared" si="2"/>
        <v>0</v>
      </c>
      <c r="G13" s="335" t="s">
        <v>96</v>
      </c>
      <c r="H13" s="336"/>
      <c r="I13" s="336"/>
      <c r="J13" s="337"/>
      <c r="K13" s="56">
        <f ca="1">'Podstawa wymiaru 10 lat SC_SCS'!D44</f>
        <v>0</v>
      </c>
      <c r="M13" s="130"/>
    </row>
    <row r="14" spans="1:20" ht="19.95" customHeight="1" thickBot="1" x14ac:dyDescent="0.35">
      <c r="A14" s="5"/>
      <c r="B14" s="6"/>
      <c r="C14" s="136">
        <f t="shared" si="0"/>
        <v>0</v>
      </c>
      <c r="D14" s="137">
        <f t="shared" si="1"/>
        <v>0</v>
      </c>
      <c r="E14" s="138">
        <f t="shared" si="2"/>
        <v>0</v>
      </c>
      <c r="G14" s="338" t="s">
        <v>115</v>
      </c>
      <c r="H14" s="339"/>
      <c r="I14" s="339"/>
      <c r="J14" s="340"/>
      <c r="K14" s="60">
        <f ca="1">'Podstawa wymiaru 10 lat SC_SCS'!D45</f>
        <v>0</v>
      </c>
      <c r="M14" s="130"/>
    </row>
    <row r="15" spans="1:20" ht="19.95" customHeight="1" thickBot="1" x14ac:dyDescent="0.35">
      <c r="A15" s="260" t="s">
        <v>30</v>
      </c>
      <c r="B15" s="261"/>
      <c r="C15" s="139">
        <f>SUM(C4:C14)+INT((SUM(D4:D14)+INT(SUM(E4:E14)/30))/12)</f>
        <v>0</v>
      </c>
      <c r="D15" s="139">
        <f>MOD(SUM(D4:D14)+INT(SUM(E4:E14)/30),12)</f>
        <v>0</v>
      </c>
      <c r="E15" s="140">
        <f>MOD(SUM(E4:E14),30)</f>
        <v>0</v>
      </c>
      <c r="G15" s="66" t="s">
        <v>24</v>
      </c>
      <c r="H15" s="67"/>
      <c r="I15" s="67"/>
      <c r="J15" s="68"/>
      <c r="K15" s="82">
        <f>K9</f>
        <v>0</v>
      </c>
      <c r="M15" s="130"/>
    </row>
    <row r="16" spans="1:20" ht="19.95" customHeight="1" thickBot="1" x14ac:dyDescent="0.35">
      <c r="A16" s="44"/>
      <c r="B16" s="44"/>
      <c r="C16" s="44"/>
      <c r="D16" s="44"/>
      <c r="E16" s="44"/>
      <c r="G16" s="351" t="s">
        <v>98</v>
      </c>
      <c r="H16" s="352"/>
      <c r="I16" s="352"/>
      <c r="J16" s="352"/>
      <c r="K16" s="74">
        <f ca="1">ROUND(K14*K15,2)</f>
        <v>0</v>
      </c>
    </row>
    <row r="17" spans="1:13" ht="19.95" customHeight="1" thickBot="1" x14ac:dyDescent="0.35">
      <c r="A17" s="317" t="s">
        <v>57</v>
      </c>
      <c r="B17" s="325"/>
      <c r="C17" s="325"/>
      <c r="D17" s="325"/>
      <c r="E17" s="326"/>
      <c r="G17" s="353" t="s">
        <v>71</v>
      </c>
      <c r="H17" s="354"/>
      <c r="I17" s="354"/>
      <c r="J17" s="355"/>
      <c r="K17" s="75">
        <f ca="1">MAX(ROUND(K16*$R$1,2),0)</f>
        <v>0</v>
      </c>
    </row>
    <row r="18" spans="1:13" ht="19.95" customHeight="1" thickBot="1" x14ac:dyDescent="0.35">
      <c r="A18" s="141" t="s">
        <v>32</v>
      </c>
      <c r="B18" s="142" t="s">
        <v>33</v>
      </c>
      <c r="C18" s="141" t="s">
        <v>26</v>
      </c>
      <c r="D18" s="143" t="s">
        <v>29</v>
      </c>
      <c r="E18" s="144" t="s">
        <v>17</v>
      </c>
      <c r="G18" s="356" t="s">
        <v>72</v>
      </c>
      <c r="H18" s="357"/>
      <c r="I18" s="357"/>
      <c r="J18" s="358"/>
      <c r="K18" s="76">
        <f ca="1">MAX(ROUND(ROUND(K16,0)*$S$1-$T$1,0),0)</f>
        <v>0</v>
      </c>
    </row>
    <row r="19" spans="1:13" ht="19.95" customHeight="1" thickBot="1" x14ac:dyDescent="0.35">
      <c r="A19" s="1"/>
      <c r="B19" s="2"/>
      <c r="C19" s="100">
        <f>IF((ISBLANK(A19)=TRUE),0,DATEDIF(A19,B19+1,"Y"))</f>
        <v>0</v>
      </c>
      <c r="D19" s="101">
        <f t="shared" ref="D19:D29" si="3">IF((ISBLANK(A19)=TRUE),0,DATEDIF(A19,B19+1,"YM"))</f>
        <v>0</v>
      </c>
      <c r="E19" s="102">
        <f t="shared" ref="E19:E29" si="4">IF((ISBLANK(A19)=TRUE),0,DATEDIF(A19,B19+1,"MD"))</f>
        <v>0</v>
      </c>
      <c r="G19" s="359" t="s">
        <v>97</v>
      </c>
      <c r="H19" s="360"/>
      <c r="I19" s="360"/>
      <c r="J19" s="361"/>
      <c r="K19" s="77">
        <f ca="1">K16-K17-K18</f>
        <v>0</v>
      </c>
    </row>
    <row r="20" spans="1:13" ht="19.95" customHeight="1" x14ac:dyDescent="0.3">
      <c r="A20" s="3"/>
      <c r="B20" s="7"/>
      <c r="C20" s="105">
        <f>IF((ISBLANK(A20)=TRUE),0,DATEDIF(A20,B20+1,"Y"))</f>
        <v>0</v>
      </c>
      <c r="D20" s="106">
        <f t="shared" si="3"/>
        <v>0</v>
      </c>
      <c r="E20" s="107">
        <f t="shared" si="4"/>
        <v>0</v>
      </c>
    </row>
    <row r="21" spans="1:13" ht="19.95" customHeight="1" x14ac:dyDescent="0.3">
      <c r="A21" s="3"/>
      <c r="B21" s="7"/>
      <c r="C21" s="105">
        <f>IF((ISBLANK(A21)=TRUE),0,DATEDIF(A21,B21+1,"Y"))</f>
        <v>0</v>
      </c>
      <c r="D21" s="106">
        <f t="shared" si="3"/>
        <v>0</v>
      </c>
      <c r="E21" s="107">
        <f t="shared" si="4"/>
        <v>0</v>
      </c>
      <c r="J21" s="44"/>
      <c r="K21" s="44"/>
    </row>
    <row r="22" spans="1:13" ht="19.95" customHeight="1" x14ac:dyDescent="0.3">
      <c r="A22" s="3"/>
      <c r="B22" s="7"/>
      <c r="C22" s="105">
        <f t="shared" ref="C22:C29" si="5">IF((ISBLANK(A22)=TRUE),0,DATEDIF(A22,B22+1,"Y"))</f>
        <v>0</v>
      </c>
      <c r="D22" s="106">
        <f t="shared" si="3"/>
        <v>0</v>
      </c>
      <c r="E22" s="107">
        <f t="shared" si="4"/>
        <v>0</v>
      </c>
      <c r="G22" s="343" t="s">
        <v>76</v>
      </c>
      <c r="H22" s="343"/>
      <c r="I22" s="343"/>
      <c r="J22" s="343"/>
      <c r="K22" s="343"/>
    </row>
    <row r="23" spans="1:13" ht="19.95" customHeight="1" x14ac:dyDescent="0.3">
      <c r="A23" s="3"/>
      <c r="B23" s="7"/>
      <c r="C23" s="105">
        <f t="shared" si="5"/>
        <v>0</v>
      </c>
      <c r="D23" s="106">
        <f t="shared" si="3"/>
        <v>0</v>
      </c>
      <c r="E23" s="107">
        <f t="shared" si="4"/>
        <v>0</v>
      </c>
      <c r="G23" s="343"/>
      <c r="H23" s="343"/>
      <c r="I23" s="343"/>
      <c r="J23" s="343"/>
      <c r="K23" s="343"/>
      <c r="L23" s="104"/>
      <c r="M23" s="70"/>
    </row>
    <row r="24" spans="1:13" ht="19.95" customHeight="1" x14ac:dyDescent="0.3">
      <c r="A24" s="3"/>
      <c r="B24" s="7"/>
      <c r="C24" s="105">
        <f t="shared" si="5"/>
        <v>0</v>
      </c>
      <c r="D24" s="106">
        <f t="shared" si="3"/>
        <v>0</v>
      </c>
      <c r="E24" s="107">
        <f t="shared" si="4"/>
        <v>0</v>
      </c>
      <c r="G24" s="343"/>
      <c r="H24" s="343"/>
      <c r="I24" s="343"/>
      <c r="J24" s="343"/>
      <c r="K24" s="343"/>
      <c r="L24" s="70"/>
      <c r="M24" s="104"/>
    </row>
    <row r="25" spans="1:13" ht="19.95" customHeight="1" x14ac:dyDescent="0.3">
      <c r="A25" s="3"/>
      <c r="B25" s="7"/>
      <c r="C25" s="105">
        <f t="shared" si="5"/>
        <v>0</v>
      </c>
      <c r="D25" s="106">
        <f t="shared" si="3"/>
        <v>0</v>
      </c>
      <c r="E25" s="107">
        <f t="shared" si="4"/>
        <v>0</v>
      </c>
    </row>
    <row r="26" spans="1:13" ht="19.95" customHeight="1" x14ac:dyDescent="0.3">
      <c r="A26" s="3"/>
      <c r="B26" s="7"/>
      <c r="C26" s="105">
        <f t="shared" si="5"/>
        <v>0</v>
      </c>
      <c r="D26" s="106">
        <f t="shared" si="3"/>
        <v>0</v>
      </c>
      <c r="E26" s="107">
        <f t="shared" si="4"/>
        <v>0</v>
      </c>
    </row>
    <row r="27" spans="1:13" ht="19.95" customHeight="1" x14ac:dyDescent="0.3">
      <c r="A27" s="3"/>
      <c r="B27" s="7"/>
      <c r="C27" s="105">
        <f t="shared" si="5"/>
        <v>0</v>
      </c>
      <c r="D27" s="106">
        <f t="shared" si="3"/>
        <v>0</v>
      </c>
      <c r="E27" s="107">
        <f t="shared" si="4"/>
        <v>0</v>
      </c>
      <c r="H27" s="362"/>
      <c r="I27" s="362"/>
      <c r="J27" s="362"/>
    </row>
    <row r="28" spans="1:13" ht="19.95" customHeight="1" x14ac:dyDescent="0.3">
      <c r="A28" s="3"/>
      <c r="B28" s="7"/>
      <c r="C28" s="105">
        <f t="shared" si="5"/>
        <v>0</v>
      </c>
      <c r="D28" s="106">
        <f t="shared" si="3"/>
        <v>0</v>
      </c>
      <c r="E28" s="107">
        <f t="shared" si="4"/>
        <v>0</v>
      </c>
      <c r="I28" s="148"/>
      <c r="J28" s="149"/>
    </row>
    <row r="29" spans="1:13" ht="19.95" customHeight="1" thickBot="1" x14ac:dyDescent="0.35">
      <c r="A29" s="5"/>
      <c r="B29" s="8"/>
      <c r="C29" s="136">
        <f t="shared" si="5"/>
        <v>0</v>
      </c>
      <c r="D29" s="137">
        <f t="shared" si="3"/>
        <v>0</v>
      </c>
      <c r="E29" s="138">
        <f t="shared" si="4"/>
        <v>0</v>
      </c>
    </row>
    <row r="30" spans="1:13" ht="19.95" customHeight="1" thickBot="1" x14ac:dyDescent="0.35">
      <c r="A30" s="317" t="s">
        <v>30</v>
      </c>
      <c r="B30" s="318"/>
      <c r="C30" s="150">
        <f>SUM(C19:C29)+INT((SUM(D19:D29)+INT(SUM(E19:E29)/30))/12)</f>
        <v>0</v>
      </c>
      <c r="D30" s="151">
        <f>MOD(SUM(D19:D29)+INT(SUM(E19:E29)/30),12)</f>
        <v>0</v>
      </c>
      <c r="E30" s="152">
        <f>MOD(SUM(E19:E29),30)</f>
        <v>0</v>
      </c>
      <c r="G30" s="153"/>
    </row>
    <row r="31" spans="1:13" ht="19.95" customHeight="1" x14ac:dyDescent="0.3">
      <c r="A31" s="154"/>
      <c r="B31" s="154"/>
      <c r="C31" s="38"/>
      <c r="D31" s="38"/>
      <c r="E31" s="38"/>
      <c r="G31" s="201"/>
      <c r="H31" s="132"/>
      <c r="I31" s="132"/>
      <c r="J31" s="70"/>
    </row>
    <row r="32" spans="1:13" ht="19.95" customHeight="1" thickBot="1" x14ac:dyDescent="0.35">
      <c r="A32" s="154"/>
      <c r="B32" s="154"/>
      <c r="C32" s="38"/>
      <c r="D32" s="38"/>
      <c r="E32" s="38"/>
      <c r="G32" s="201"/>
      <c r="H32" s="70"/>
      <c r="I32" s="70"/>
      <c r="J32" s="70"/>
    </row>
    <row r="33" spans="1:10" ht="30" customHeight="1" thickBot="1" x14ac:dyDescent="0.35">
      <c r="A33" s="329" t="s">
        <v>80</v>
      </c>
      <c r="B33" s="330"/>
      <c r="C33" s="330"/>
      <c r="D33" s="330"/>
      <c r="E33" s="331"/>
      <c r="G33" s="201"/>
      <c r="H33" s="70"/>
      <c r="I33" s="70"/>
      <c r="J33" s="70"/>
    </row>
    <row r="34" spans="1:10" ht="19.95" customHeight="1" thickBot="1" x14ac:dyDescent="0.35">
      <c r="A34" s="162" t="s">
        <v>32</v>
      </c>
      <c r="B34" s="163" t="s">
        <v>33</v>
      </c>
      <c r="C34" s="162" t="s">
        <v>26</v>
      </c>
      <c r="D34" s="164" t="s">
        <v>29</v>
      </c>
      <c r="E34" s="165" t="s">
        <v>17</v>
      </c>
      <c r="G34" s="201"/>
      <c r="H34" s="166"/>
      <c r="I34" s="166"/>
      <c r="J34" s="70"/>
    </row>
    <row r="35" spans="1:10" ht="19.95" customHeight="1" x14ac:dyDescent="0.3">
      <c r="A35" s="1"/>
      <c r="B35" s="2"/>
      <c r="C35" s="100">
        <f>IF( B35&gt;$B$48,"błąd",IF((ISBLANK(A35)=TRUE),0,DATEDIF(A35,B35+1,"Y")))</f>
        <v>0</v>
      </c>
      <c r="D35" s="101">
        <f>IF(B35&gt;$B$48, "błąd",IF((ISBLANK(A35)=TRUE),0,DATEDIF(A35,B35+1,"YM")))</f>
        <v>0</v>
      </c>
      <c r="E35" s="102">
        <f>IF(B35&gt;$B$48,"błąd",IF((ISBLANK(A35)=TRUE),0,DATEDIF(A35,B35+1,"MD")))</f>
        <v>0</v>
      </c>
      <c r="G35" s="201"/>
      <c r="H35" s="170"/>
      <c r="I35" s="170"/>
      <c r="J35" s="70"/>
    </row>
    <row r="36" spans="1:10" ht="19.95" customHeight="1" x14ac:dyDescent="0.3">
      <c r="A36" s="3"/>
      <c r="B36" s="7"/>
      <c r="C36" s="167">
        <f t="shared" ref="C36:C45" si="6">IF( B36&gt;$B$48,"błąd",IF((ISBLANK(A36)=TRUE),0,DATEDIF(A36,B36+1,"Y")))</f>
        <v>0</v>
      </c>
      <c r="D36" s="168">
        <f t="shared" ref="D36:D45" si="7">IF(B36&gt;$B$48, "błąd",IF((ISBLANK(A36)=TRUE),0,DATEDIF(A36,B36+1,"YM")))</f>
        <v>0</v>
      </c>
      <c r="E36" s="169">
        <f t="shared" ref="E36:E45" si="8">IF(B36&gt;$B$48,"błąd",IF((ISBLANK(A36)=TRUE),0,DATEDIF(A36,B36+1,"MD")))</f>
        <v>0</v>
      </c>
      <c r="G36" s="201"/>
      <c r="H36" s="108"/>
      <c r="I36" s="108"/>
      <c r="J36" s="70"/>
    </row>
    <row r="37" spans="1:10" ht="19.95" customHeight="1" x14ac:dyDescent="0.3">
      <c r="A37" s="3"/>
      <c r="B37" s="7"/>
      <c r="C37" s="167">
        <f t="shared" si="6"/>
        <v>0</v>
      </c>
      <c r="D37" s="168">
        <f t="shared" si="7"/>
        <v>0</v>
      </c>
      <c r="E37" s="169">
        <f t="shared" si="8"/>
        <v>0</v>
      </c>
      <c r="G37" s="201"/>
      <c r="H37" s="171"/>
      <c r="I37" s="171"/>
      <c r="J37" s="70"/>
    </row>
    <row r="38" spans="1:10" ht="19.95" customHeight="1" x14ac:dyDescent="0.3">
      <c r="A38" s="3"/>
      <c r="B38" s="7"/>
      <c r="C38" s="167">
        <f t="shared" si="6"/>
        <v>0</v>
      </c>
      <c r="D38" s="168">
        <f t="shared" si="7"/>
        <v>0</v>
      </c>
      <c r="E38" s="169">
        <f t="shared" si="8"/>
        <v>0</v>
      </c>
      <c r="G38" s="201"/>
      <c r="H38" s="171"/>
      <c r="I38" s="171"/>
      <c r="J38" s="70"/>
    </row>
    <row r="39" spans="1:10" ht="19.95" customHeight="1" x14ac:dyDescent="0.3">
      <c r="A39" s="3"/>
      <c r="B39" s="7"/>
      <c r="C39" s="167">
        <f t="shared" si="6"/>
        <v>0</v>
      </c>
      <c r="D39" s="168">
        <f t="shared" si="7"/>
        <v>0</v>
      </c>
      <c r="E39" s="169">
        <f t="shared" si="8"/>
        <v>0</v>
      </c>
      <c r="G39" s="201"/>
      <c r="H39" s="132"/>
      <c r="I39" s="132"/>
      <c r="J39" s="70"/>
    </row>
    <row r="40" spans="1:10" ht="19.95" customHeight="1" x14ac:dyDescent="0.3">
      <c r="A40" s="3"/>
      <c r="B40" s="7"/>
      <c r="C40" s="167">
        <f t="shared" si="6"/>
        <v>0</v>
      </c>
      <c r="D40" s="168">
        <f t="shared" si="7"/>
        <v>0</v>
      </c>
      <c r="E40" s="169">
        <f t="shared" si="8"/>
        <v>0</v>
      </c>
      <c r="G40" s="201"/>
      <c r="H40" s="132"/>
      <c r="I40" s="132"/>
      <c r="J40" s="70"/>
    </row>
    <row r="41" spans="1:10" ht="19.95" customHeight="1" x14ac:dyDescent="0.3">
      <c r="A41" s="3"/>
      <c r="B41" s="7"/>
      <c r="C41" s="167">
        <f t="shared" si="6"/>
        <v>0</v>
      </c>
      <c r="D41" s="168">
        <f t="shared" si="7"/>
        <v>0</v>
      </c>
      <c r="E41" s="169">
        <f t="shared" si="8"/>
        <v>0</v>
      </c>
      <c r="G41" s="201"/>
      <c r="H41" s="132"/>
      <c r="I41" s="132"/>
      <c r="J41" s="70"/>
    </row>
    <row r="42" spans="1:10" ht="19.95" customHeight="1" x14ac:dyDescent="0.3">
      <c r="A42" s="3"/>
      <c r="B42" s="7"/>
      <c r="C42" s="167">
        <f t="shared" si="6"/>
        <v>0</v>
      </c>
      <c r="D42" s="168">
        <f t="shared" si="7"/>
        <v>0</v>
      </c>
      <c r="E42" s="169">
        <f t="shared" si="8"/>
        <v>0</v>
      </c>
      <c r="G42" s="201"/>
      <c r="H42" s="132"/>
      <c r="I42" s="132"/>
      <c r="J42" s="70"/>
    </row>
    <row r="43" spans="1:10" ht="19.95" customHeight="1" x14ac:dyDescent="0.3">
      <c r="A43" s="3"/>
      <c r="B43" s="7"/>
      <c r="C43" s="167">
        <f t="shared" si="6"/>
        <v>0</v>
      </c>
      <c r="D43" s="168">
        <f t="shared" si="7"/>
        <v>0</v>
      </c>
      <c r="E43" s="169">
        <f t="shared" si="8"/>
        <v>0</v>
      </c>
      <c r="G43" s="201"/>
      <c r="H43" s="132"/>
      <c r="I43" s="132"/>
      <c r="J43" s="70"/>
    </row>
    <row r="44" spans="1:10" ht="19.95" customHeight="1" x14ac:dyDescent="0.3">
      <c r="A44" s="3"/>
      <c r="B44" s="7"/>
      <c r="C44" s="167">
        <f t="shared" si="6"/>
        <v>0</v>
      </c>
      <c r="D44" s="168">
        <f t="shared" si="7"/>
        <v>0</v>
      </c>
      <c r="E44" s="169">
        <f t="shared" si="8"/>
        <v>0</v>
      </c>
      <c r="G44" s="201"/>
      <c r="H44" s="132"/>
      <c r="I44" s="132"/>
      <c r="J44" s="70"/>
    </row>
    <row r="45" spans="1:10" ht="19.95" customHeight="1" thickBot="1" x14ac:dyDescent="0.35">
      <c r="A45" s="5"/>
      <c r="B45" s="8"/>
      <c r="C45" s="167">
        <f t="shared" si="6"/>
        <v>0</v>
      </c>
      <c r="D45" s="168">
        <f t="shared" si="7"/>
        <v>0</v>
      </c>
      <c r="E45" s="169">
        <f t="shared" si="8"/>
        <v>0</v>
      </c>
      <c r="G45" s="201"/>
      <c r="H45" s="132"/>
      <c r="I45" s="132"/>
      <c r="J45" s="70"/>
    </row>
    <row r="46" spans="1:10" ht="19.95" customHeight="1" thickBot="1" x14ac:dyDescent="0.35">
      <c r="A46" s="321" t="s">
        <v>34</v>
      </c>
      <c r="B46" s="322"/>
      <c r="C46" s="172">
        <f>SUM(C35:C45)+INT((SUM(D35:D45)+INT(SUM(E35:E45)/30))/12)</f>
        <v>0</v>
      </c>
      <c r="D46" s="172">
        <f>MOD(SUM(D35:D45)+INT(SUM(E35:E45)/30),12)</f>
        <v>0</v>
      </c>
      <c r="E46" s="173">
        <f>MOD(SUM(E35:E45),30)</f>
        <v>0</v>
      </c>
      <c r="G46" s="201"/>
    </row>
    <row r="47" spans="1:10" ht="19.95" customHeight="1" thickBot="1" x14ac:dyDescent="0.35">
      <c r="A47" s="370" t="s">
        <v>35</v>
      </c>
      <c r="B47" s="371"/>
      <c r="C47" s="174">
        <f>INT(C46*1.5)+INT((D46+IF(MOD(C46*1.5,1)=0.5,6,0))/12)</f>
        <v>0</v>
      </c>
      <c r="D47" s="175">
        <f>MOD((D46+IF(MOD(C46*1.5,1)=0.5,6,0)),12)</f>
        <v>0</v>
      </c>
      <c r="E47" s="176">
        <f>E46</f>
        <v>0</v>
      </c>
    </row>
    <row r="48" spans="1:10" ht="19.95" customHeight="1" x14ac:dyDescent="0.3">
      <c r="A48" s="83"/>
      <c r="B48" s="177">
        <v>41274</v>
      </c>
      <c r="C48" s="178"/>
      <c r="D48" s="178"/>
      <c r="E48" s="178"/>
    </row>
    <row r="49" spans="1:5" ht="19.95" customHeight="1" x14ac:dyDescent="0.3">
      <c r="A49" s="83"/>
      <c r="B49" s="83"/>
      <c r="C49" s="178"/>
      <c r="D49" s="178"/>
      <c r="E49" s="178"/>
    </row>
    <row r="50" spans="1:5" ht="15" thickBot="1" x14ac:dyDescent="0.35">
      <c r="A50" s="372" t="s">
        <v>59</v>
      </c>
      <c r="B50" s="372"/>
      <c r="C50" s="372"/>
      <c r="D50" s="372"/>
      <c r="E50" s="372"/>
    </row>
    <row r="51" spans="1:5" ht="34.799999999999997" customHeight="1" thickBot="1" x14ac:dyDescent="0.35">
      <c r="A51" s="367" t="s">
        <v>62</v>
      </c>
      <c r="B51" s="368"/>
      <c r="C51" s="179">
        <f>C15</f>
        <v>0</v>
      </c>
      <c r="D51" s="179">
        <f t="shared" ref="D51:E51" si="9">D15</f>
        <v>0</v>
      </c>
      <c r="E51" s="180">
        <f t="shared" si="9"/>
        <v>0</v>
      </c>
    </row>
    <row r="52" spans="1:5" ht="31.8" customHeight="1" thickBot="1" x14ac:dyDescent="0.35">
      <c r="A52" s="369" t="s">
        <v>69</v>
      </c>
      <c r="B52" s="337"/>
      <c r="C52" s="202">
        <f>C47</f>
        <v>0</v>
      </c>
      <c r="D52" s="203">
        <f t="shared" ref="D52:E52" si="10">D47</f>
        <v>0</v>
      </c>
      <c r="E52" s="184">
        <f t="shared" si="10"/>
        <v>0</v>
      </c>
    </row>
    <row r="53" spans="1:5" ht="40.200000000000003" customHeight="1" thickBot="1" x14ac:dyDescent="0.35">
      <c r="A53" s="365" t="s">
        <v>61</v>
      </c>
      <c r="B53" s="366"/>
      <c r="C53" s="185">
        <f>SUM(C51:C52)+INT((SUM(D51:D52)+INT(SUM(E51:E52)/30))/12)</f>
        <v>0</v>
      </c>
      <c r="D53" s="186">
        <f>MOD((D51+D52)+INT((E51+E52)/30),12)</f>
        <v>0</v>
      </c>
      <c r="E53" s="187">
        <f>MOD((E51+E52),30)</f>
        <v>0</v>
      </c>
    </row>
    <row r="55" spans="1:5" ht="15" thickBot="1" x14ac:dyDescent="0.35">
      <c r="A55" s="332" t="s">
        <v>81</v>
      </c>
      <c r="B55" s="332"/>
      <c r="C55" s="332"/>
      <c r="D55" s="332"/>
      <c r="E55" s="332"/>
    </row>
    <row r="56" spans="1:5" ht="36" customHeight="1" thickBot="1" x14ac:dyDescent="0.35">
      <c r="A56" s="367" t="s">
        <v>60</v>
      </c>
      <c r="B56" s="368"/>
      <c r="C56" s="180">
        <f>C15</f>
        <v>0</v>
      </c>
      <c r="D56" s="180">
        <f t="shared" ref="D56:E56" si="11">D2</f>
        <v>0</v>
      </c>
      <c r="E56" s="181">
        <f t="shared" si="11"/>
        <v>0</v>
      </c>
    </row>
    <row r="57" spans="1:5" ht="48.6" customHeight="1" thickBot="1" x14ac:dyDescent="0.35">
      <c r="A57" s="369" t="s">
        <v>70</v>
      </c>
      <c r="B57" s="337"/>
      <c r="C57" s="183">
        <f>C47</f>
        <v>0</v>
      </c>
      <c r="D57" s="183">
        <f t="shared" ref="D57:E57" si="12">D47</f>
        <v>0</v>
      </c>
      <c r="E57" s="184">
        <f t="shared" si="12"/>
        <v>0</v>
      </c>
    </row>
    <row r="58" spans="1:5" ht="58.8" customHeight="1" thickBot="1" x14ac:dyDescent="0.35">
      <c r="A58" s="365" t="s">
        <v>79</v>
      </c>
      <c r="B58" s="366"/>
      <c r="C58" s="185">
        <f>SUM(C56:C57)+INT((SUM(D56:D57)+INT(SUM(E56:E57)/30))/12)</f>
        <v>0</v>
      </c>
      <c r="D58" s="186">
        <f>MOD((D56+D57)+INT((E56+E57)/30),12)</f>
        <v>0</v>
      </c>
      <c r="E58" s="187">
        <f>MOD((E56+E57),30)</f>
        <v>0</v>
      </c>
    </row>
  </sheetData>
  <sheetProtection algorithmName="SHA-512" hashValue="DtQE931w30poBAF8CUHP7ZlYtwQ4WsXCsVlWiLbfJSzUFtCzJ8XoG6Om6YkFP2rm7c40AWgnwsMZ5OKPZgyAdQ==" saltValue="fv+MIr37w+LNVQ/7XLE3tA==" spinCount="100000" sheet="1" objects="1" scenarios="1"/>
  <mergeCells count="27">
    <mergeCell ref="A57:B57"/>
    <mergeCell ref="A58:B58"/>
    <mergeCell ref="A53:B53"/>
    <mergeCell ref="A46:B46"/>
    <mergeCell ref="A47:B47"/>
    <mergeCell ref="A51:B51"/>
    <mergeCell ref="A52:B52"/>
    <mergeCell ref="A56:B56"/>
    <mergeCell ref="A55:E55"/>
    <mergeCell ref="A33:E33"/>
    <mergeCell ref="A50:E50"/>
    <mergeCell ref="G18:J18"/>
    <mergeCell ref="G19:J19"/>
    <mergeCell ref="A15:B15"/>
    <mergeCell ref="A17:E17"/>
    <mergeCell ref="H27:J27"/>
    <mergeCell ref="A30:B30"/>
    <mergeCell ref="G22:K24"/>
    <mergeCell ref="G16:J16"/>
    <mergeCell ref="G17:J17"/>
    <mergeCell ref="G11:K11"/>
    <mergeCell ref="A1:E1"/>
    <mergeCell ref="G14:J14"/>
    <mergeCell ref="G13:J13"/>
    <mergeCell ref="H9:I9"/>
    <mergeCell ref="A2:E2"/>
    <mergeCell ref="G12:J12"/>
  </mergeCells>
  <pageMargins left="0.70866141732283472" right="0.70866141732283472" top="0.6692913385826772" bottom="0.43307086614173229" header="0.31496062992125984" footer="0.31496062992125984"/>
  <pageSetup paperSize="9" orientation="landscape" r:id="rId1"/>
  <headerFooter>
    <oddHeader xml:space="preserve">&amp;C&amp;"-,Pogrubiony"KALKULATOR EMERYTALNY 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Roboczy!$D$4:$D$6</xm:f>
          </x14:formula1>
          <xm:sqref>I4</xm:sqref>
        </x14:dataValidation>
        <x14:dataValidation type="list" allowBlank="1" showInputMessage="1" showErrorMessage="1">
          <x14:formula1>
            <xm:f>Roboczy!$H$3:$H$15</xm:f>
          </x14:formula1>
          <xm:sqref>I3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41"/>
  <sheetViews>
    <sheetView workbookViewId="0">
      <selection activeCell="I4" sqref="I4"/>
    </sheetView>
  </sheetViews>
  <sheetFormatPr defaultRowHeight="14.4" x14ac:dyDescent="0.3"/>
  <cols>
    <col min="1" max="1" width="14.33203125" style="17" customWidth="1"/>
    <col min="2" max="2" width="16.5546875" style="17" customWidth="1"/>
    <col min="3" max="3" width="7" style="17" customWidth="1"/>
    <col min="4" max="4" width="7.5546875" style="17" customWidth="1"/>
    <col min="5" max="5" width="6.88671875" style="17" customWidth="1"/>
    <col min="6" max="6" width="8.88671875" style="17"/>
    <col min="7" max="7" width="74" style="17" customWidth="1"/>
    <col min="8" max="9" width="13.77734375" style="44" customWidth="1"/>
    <col min="10" max="10" width="13.77734375" style="44" hidden="1" customWidth="1"/>
    <col min="11" max="11" width="13.77734375" style="17" customWidth="1"/>
    <col min="12" max="12" width="11" style="17" customWidth="1"/>
    <col min="13" max="13" width="10.88671875" style="17" hidden="1" customWidth="1"/>
    <col min="14" max="14" width="12.77734375" style="17" hidden="1" customWidth="1"/>
    <col min="15" max="15" width="11.44140625" style="17" hidden="1" customWidth="1"/>
    <col min="16" max="16" width="11.5546875" style="17" hidden="1" customWidth="1"/>
    <col min="17" max="16384" width="8.88671875" style="17"/>
  </cols>
  <sheetData>
    <row r="1" spans="1:20" ht="24" customHeight="1" thickBot="1" x14ac:dyDescent="0.35">
      <c r="A1" s="332" t="s">
        <v>82</v>
      </c>
      <c r="B1" s="332"/>
      <c r="C1" s="332"/>
      <c r="D1" s="332"/>
      <c r="E1" s="332"/>
      <c r="G1" s="83" t="s">
        <v>41</v>
      </c>
      <c r="H1" s="297" t="s">
        <v>73</v>
      </c>
      <c r="I1" s="362"/>
      <c r="J1" s="362"/>
      <c r="K1" s="362"/>
      <c r="M1" s="189">
        <v>36161</v>
      </c>
      <c r="N1" s="189">
        <v>36162</v>
      </c>
      <c r="O1" s="189">
        <v>37895</v>
      </c>
      <c r="P1" s="189">
        <v>41275</v>
      </c>
      <c r="R1" s="85">
        <v>0.09</v>
      </c>
      <c r="S1" s="85">
        <v>0.12</v>
      </c>
      <c r="T1" s="86">
        <v>300</v>
      </c>
    </row>
    <row r="2" spans="1:20" ht="19.95" customHeight="1" thickBot="1" x14ac:dyDescent="0.35">
      <c r="A2" s="260" t="s">
        <v>31</v>
      </c>
      <c r="B2" s="323"/>
      <c r="C2" s="323"/>
      <c r="D2" s="323"/>
      <c r="E2" s="324"/>
      <c r="G2" s="204" t="s">
        <v>67</v>
      </c>
      <c r="H2" s="88" t="s">
        <v>14</v>
      </c>
      <c r="I2" s="89" t="s">
        <v>0</v>
      </c>
      <c r="J2" s="90"/>
      <c r="K2" s="91" t="s">
        <v>36</v>
      </c>
      <c r="L2" s="92"/>
      <c r="M2" s="92"/>
    </row>
    <row r="3" spans="1:20" ht="19.95" customHeight="1" thickBot="1" x14ac:dyDescent="0.35">
      <c r="A3" s="93" t="s">
        <v>32</v>
      </c>
      <c r="B3" s="94" t="s">
        <v>33</v>
      </c>
      <c r="C3" s="93" t="s">
        <v>26</v>
      </c>
      <c r="D3" s="95" t="s">
        <v>29</v>
      </c>
      <c r="E3" s="94" t="s">
        <v>17</v>
      </c>
      <c r="G3" s="96" t="s">
        <v>25</v>
      </c>
      <c r="H3" s="9"/>
      <c r="I3" s="10"/>
      <c r="J3" s="90"/>
      <c r="K3" s="205" t="str">
        <f>IF($H$3&lt;$P$1,"poza_zakresem","art.18e")</f>
        <v>poza_zakresem</v>
      </c>
      <c r="L3" s="92"/>
      <c r="M3" s="92"/>
    </row>
    <row r="4" spans="1:20" ht="19.95" customHeight="1" thickBot="1" x14ac:dyDescent="0.35">
      <c r="A4" s="1"/>
      <c r="B4" s="2"/>
      <c r="C4" s="100">
        <f>IF((ISBLANK(A4)=TRUE),0,DATEDIF(A4,B4+1,"Y"))</f>
        <v>0</v>
      </c>
      <c r="D4" s="101">
        <f>IF((ISBLANK(A4)=TRUE),0,DATEDIF(A4,B4+1,"YM"))</f>
        <v>0</v>
      </c>
      <c r="E4" s="102">
        <f>IF((ISBLANK(A4)=TRUE),0,DATEDIF(A4,B4+1,"MD"))</f>
        <v>0</v>
      </c>
      <c r="G4" s="103" t="s">
        <v>99</v>
      </c>
      <c r="H4" s="73">
        <f>'Podstawa wymiaru 10 lat SC_SCS'!A44</f>
        <v>44562</v>
      </c>
      <c r="I4" s="11" t="s">
        <v>11</v>
      </c>
      <c r="J4" s="90"/>
      <c r="K4" s="104"/>
      <c r="L4" s="104"/>
      <c r="M4" s="92"/>
    </row>
    <row r="5" spans="1:20" ht="19.95" customHeight="1" thickBot="1" x14ac:dyDescent="0.35">
      <c r="A5" s="3"/>
      <c r="B5" s="4"/>
      <c r="C5" s="105">
        <f>IF((ISBLANK(A5)=TRUE),0,DATEDIF(A5,B5+1,"Y"))</f>
        <v>0</v>
      </c>
      <c r="D5" s="106">
        <f>IF((ISBLANK(A5)=TRUE),0,DATEDIF(A5,B5+1,"YM"))</f>
        <v>0</v>
      </c>
      <c r="E5" s="107">
        <f>IF((ISBLANK(A5)=TRUE),0,DATEDIF(A5,B5+1,"MD"))</f>
        <v>0</v>
      </c>
      <c r="G5" s="108"/>
      <c r="H5" s="341"/>
      <c r="I5" s="341"/>
      <c r="J5" s="90"/>
      <c r="K5" s="92"/>
      <c r="L5" s="92"/>
      <c r="M5" s="92"/>
    </row>
    <row r="6" spans="1:20" ht="19.95" customHeight="1" thickBot="1" x14ac:dyDescent="0.35">
      <c r="A6" s="3"/>
      <c r="B6" s="4"/>
      <c r="C6" s="105">
        <f>IF((ISBLANK(A6)=TRUE),0,DATEDIF(A6,B6+1,"Y"))</f>
        <v>0</v>
      </c>
      <c r="D6" s="106">
        <f>IF((ISBLANK(A6)=TRUE),0,DATEDIF(A6,B6+1,"YM"))</f>
        <v>0</v>
      </c>
      <c r="E6" s="107">
        <f>IF((ISBLANK(A6)=TRUE),0,DATEDIF(A6,B6+1,"MD"))</f>
        <v>0</v>
      </c>
      <c r="G6" s="109" t="s">
        <v>83</v>
      </c>
      <c r="H6" s="110" t="s">
        <v>15</v>
      </c>
      <c r="I6" s="111" t="s">
        <v>16</v>
      </c>
      <c r="J6" s="112" t="s">
        <v>17</v>
      </c>
      <c r="K6" s="113" t="s">
        <v>28</v>
      </c>
      <c r="L6" s="114"/>
      <c r="M6" s="114"/>
    </row>
    <row r="7" spans="1:20" ht="19.95" customHeight="1" thickBot="1" x14ac:dyDescent="0.35">
      <c r="A7" s="3"/>
      <c r="B7" s="4"/>
      <c r="C7" s="105">
        <f t="shared" ref="C7:C13" si="0">IF((ISBLANK(A7)=TRUE),0,DATEDIF(A7,B7+1,"Y"))</f>
        <v>0</v>
      </c>
      <c r="D7" s="106">
        <f t="shared" ref="D7:D13" si="1">IF((ISBLANK(A7)=TRUE),0,DATEDIF(A7,B7+1,"YM"))</f>
        <v>0</v>
      </c>
      <c r="E7" s="107">
        <f t="shared" ref="E7:E13" si="2">IF((ISBLANK(A7)=TRUE),0,DATEDIF(A7,B7+1,"MD"))</f>
        <v>0</v>
      </c>
      <c r="G7" s="206" t="s">
        <v>38</v>
      </c>
      <c r="H7" s="207">
        <f>C17</f>
        <v>0</v>
      </c>
      <c r="I7" s="207">
        <f>D17</f>
        <v>0</v>
      </c>
      <c r="J7" s="207">
        <f>E17</f>
        <v>0</v>
      </c>
      <c r="K7" s="208" t="str">
        <f>IF(C17&lt;25, "brak prawa",IF(H7&lt;25,0,ROUND(0.6+(H7-25)*0.03+I7*0.03/12,4)))</f>
        <v>brak prawa</v>
      </c>
      <c r="L7" s="72"/>
      <c r="M7" s="72"/>
    </row>
    <row r="8" spans="1:20" ht="19.95" customHeight="1" thickBot="1" x14ac:dyDescent="0.35">
      <c r="A8" s="3"/>
      <c r="B8" s="4"/>
      <c r="C8" s="105">
        <f t="shared" si="0"/>
        <v>0</v>
      </c>
      <c r="D8" s="106">
        <f t="shared" si="1"/>
        <v>0</v>
      </c>
      <c r="E8" s="107">
        <f t="shared" si="2"/>
        <v>0</v>
      </c>
      <c r="G8" s="131"/>
      <c r="H8" s="285" t="s">
        <v>27</v>
      </c>
      <c r="I8" s="286"/>
      <c r="J8" s="287"/>
      <c r="K8" s="209">
        <f>IF(K7="brak prawa",0,MIN(K7,0.75))</f>
        <v>0</v>
      </c>
      <c r="L8" s="72"/>
      <c r="M8" s="72"/>
    </row>
    <row r="9" spans="1:20" ht="19.95" customHeight="1" x14ac:dyDescent="0.3">
      <c r="A9" s="3"/>
      <c r="B9" s="4"/>
      <c r="C9" s="105">
        <f t="shared" si="0"/>
        <v>0</v>
      </c>
      <c r="D9" s="106">
        <f t="shared" si="1"/>
        <v>0</v>
      </c>
      <c r="E9" s="107">
        <f t="shared" si="2"/>
        <v>0</v>
      </c>
      <c r="G9" s="131"/>
      <c r="H9" s="17"/>
      <c r="I9" s="17"/>
      <c r="J9" s="17"/>
      <c r="K9" s="64"/>
      <c r="M9" s="130"/>
    </row>
    <row r="10" spans="1:20" ht="19.95" customHeight="1" x14ac:dyDescent="0.3">
      <c r="A10" s="3"/>
      <c r="B10" s="4"/>
      <c r="C10" s="105">
        <f t="shared" si="0"/>
        <v>0</v>
      </c>
      <c r="D10" s="106">
        <f>IF((ISBLANK(A10)=TRUE),0,DATEDIF(A10,B10+1,"YM"))</f>
        <v>0</v>
      </c>
      <c r="E10" s="107">
        <f>IF((ISBLANK(A10)=TRUE),0,DATEDIF(A10,B10+1,"MD"))</f>
        <v>0</v>
      </c>
      <c r="G10" s="131"/>
      <c r="H10" s="132"/>
      <c r="I10" s="132"/>
      <c r="J10" s="132"/>
      <c r="K10" s="133"/>
      <c r="L10" s="130"/>
      <c r="M10" s="130"/>
    </row>
    <row r="11" spans="1:20" ht="19.95" customHeight="1" thickBot="1" x14ac:dyDescent="0.35">
      <c r="A11" s="3"/>
      <c r="B11" s="4"/>
      <c r="C11" s="105">
        <f t="shared" si="0"/>
        <v>0</v>
      </c>
      <c r="D11" s="106">
        <f>IF((ISBLANK(A11)=TRUE),0,DATEDIF(A11,B11+1,"YM"))</f>
        <v>0</v>
      </c>
      <c r="E11" s="107">
        <f>IF((ISBLANK(A11)=TRUE),0,DATEDIF(A11,B11+1,"MD"))</f>
        <v>0</v>
      </c>
      <c r="G11" s="342" t="s">
        <v>103</v>
      </c>
      <c r="H11" s="342"/>
      <c r="I11" s="342"/>
      <c r="J11" s="342"/>
      <c r="K11" s="342"/>
      <c r="L11" s="130"/>
      <c r="M11" s="130"/>
    </row>
    <row r="12" spans="1:20" ht="19.95" customHeight="1" thickBot="1" x14ac:dyDescent="0.35">
      <c r="A12" s="3"/>
      <c r="B12" s="4"/>
      <c r="C12" s="105">
        <f t="shared" si="0"/>
        <v>0</v>
      </c>
      <c r="D12" s="106">
        <f t="shared" si="1"/>
        <v>0</v>
      </c>
      <c r="E12" s="107">
        <f t="shared" si="2"/>
        <v>0</v>
      </c>
      <c r="G12" s="347" t="s">
        <v>104</v>
      </c>
      <c r="H12" s="348"/>
      <c r="I12" s="348"/>
      <c r="J12" s="349"/>
      <c r="K12" s="57">
        <f>'Podstawa wymiaru 10 lat SC_SCS'!B44</f>
        <v>6996.26</v>
      </c>
      <c r="N12" s="130"/>
    </row>
    <row r="13" spans="1:20" ht="19.95" customHeight="1" thickBot="1" x14ac:dyDescent="0.35">
      <c r="A13" s="3"/>
      <c r="B13" s="4"/>
      <c r="C13" s="105">
        <f t="shared" si="0"/>
        <v>0</v>
      </c>
      <c r="D13" s="106">
        <f t="shared" si="1"/>
        <v>0</v>
      </c>
      <c r="E13" s="107">
        <f t="shared" si="2"/>
        <v>0</v>
      </c>
      <c r="G13" s="335" t="s">
        <v>95</v>
      </c>
      <c r="H13" s="336"/>
      <c r="I13" s="336"/>
      <c r="J13" s="337"/>
      <c r="K13" s="55">
        <f ca="1">'Podstawa wymiaru 10 lat SC_SCS'!D44</f>
        <v>0</v>
      </c>
      <c r="N13" s="130"/>
    </row>
    <row r="14" spans="1:20" ht="19.95" customHeight="1" thickBot="1" x14ac:dyDescent="0.35">
      <c r="A14" s="3"/>
      <c r="B14" s="4"/>
      <c r="C14" s="105">
        <f t="shared" ref="C14:C16" si="3">IF((ISBLANK(A14)=TRUE),0,DATEDIF(A14,B14+1,"Y"))</f>
        <v>0</v>
      </c>
      <c r="D14" s="106">
        <f t="shared" ref="D14:D16" si="4">IF((ISBLANK(A14)=TRUE),0,DATEDIF(A14,B14+1,"YM"))</f>
        <v>0</v>
      </c>
      <c r="E14" s="107">
        <f t="shared" ref="E14:E16" si="5">IF((ISBLANK(A14)=TRUE),0,DATEDIF(A14,B14+1,"MD"))</f>
        <v>0</v>
      </c>
      <c r="G14" s="338" t="s">
        <v>115</v>
      </c>
      <c r="H14" s="339"/>
      <c r="I14" s="339"/>
      <c r="J14" s="340"/>
      <c r="K14" s="58">
        <f ca="1">'Podstawa wymiaru 10 lat SC_SCS'!D45</f>
        <v>0</v>
      </c>
      <c r="N14" s="130"/>
    </row>
    <row r="15" spans="1:20" ht="19.95" customHeight="1" thickBot="1" x14ac:dyDescent="0.35">
      <c r="A15" s="3"/>
      <c r="B15" s="4"/>
      <c r="C15" s="105">
        <f t="shared" si="3"/>
        <v>0</v>
      </c>
      <c r="D15" s="106">
        <f t="shared" si="4"/>
        <v>0</v>
      </c>
      <c r="E15" s="107">
        <f t="shared" si="5"/>
        <v>0</v>
      </c>
      <c r="G15" s="373" t="s">
        <v>24</v>
      </c>
      <c r="H15" s="374"/>
      <c r="I15" s="374"/>
      <c r="J15" s="375"/>
      <c r="K15" s="59">
        <f>K8</f>
        <v>0</v>
      </c>
      <c r="N15" s="130"/>
    </row>
    <row r="16" spans="1:20" ht="19.95" customHeight="1" thickBot="1" x14ac:dyDescent="0.35">
      <c r="A16" s="3"/>
      <c r="B16" s="4"/>
      <c r="C16" s="105">
        <f t="shared" si="3"/>
        <v>0</v>
      </c>
      <c r="D16" s="106">
        <f t="shared" si="4"/>
        <v>0</v>
      </c>
      <c r="E16" s="107">
        <f t="shared" si="5"/>
        <v>0</v>
      </c>
      <c r="G16" s="351" t="s">
        <v>98</v>
      </c>
      <c r="H16" s="352"/>
      <c r="I16" s="352"/>
      <c r="J16" s="352"/>
      <c r="K16" s="74">
        <f ca="1">ROUND(K14*K15,2)</f>
        <v>0</v>
      </c>
    </row>
    <row r="17" spans="1:11" ht="22.2" customHeight="1" thickBot="1" x14ac:dyDescent="0.35">
      <c r="A17" s="260" t="s">
        <v>30</v>
      </c>
      <c r="B17" s="261"/>
      <c r="C17" s="139">
        <f>SUM(C4:C16)+INT((SUM(D4:D16)+INT(SUM(E4:E16)/30))/12)</f>
        <v>0</v>
      </c>
      <c r="D17" s="139">
        <f>MOD(SUM(D4:D14)+INT(SUM(E4:E14)/30),12)</f>
        <v>0</v>
      </c>
      <c r="E17" s="140">
        <f>MOD(SUM(E4:E14),30)</f>
        <v>0</v>
      </c>
      <c r="G17" s="353" t="s">
        <v>71</v>
      </c>
      <c r="H17" s="354"/>
      <c r="I17" s="354"/>
      <c r="J17" s="355"/>
      <c r="K17" s="75">
        <f ca="1">MAX(ROUND(K16*$R$1,2),0)</f>
        <v>0</v>
      </c>
    </row>
    <row r="18" spans="1:11" ht="19.8" customHeight="1" thickBot="1" x14ac:dyDescent="0.35">
      <c r="G18" s="356" t="s">
        <v>72</v>
      </c>
      <c r="H18" s="357"/>
      <c r="I18" s="357"/>
      <c r="J18" s="358"/>
      <c r="K18" s="76">
        <f ca="1">MAX(ROUND(ROUND(K16,0)*$S$1-$T$1,0),0)</f>
        <v>0</v>
      </c>
    </row>
    <row r="19" spans="1:11" ht="24.6" customHeight="1" thickBot="1" x14ac:dyDescent="0.35">
      <c r="G19" s="359" t="s">
        <v>97</v>
      </c>
      <c r="H19" s="360"/>
      <c r="I19" s="360"/>
      <c r="J19" s="361"/>
      <c r="K19" s="77">
        <f ca="1">K16-K17-K18</f>
        <v>0</v>
      </c>
    </row>
    <row r="20" spans="1:11" ht="22.2" customHeight="1" x14ac:dyDescent="0.3">
      <c r="G20" s="210"/>
      <c r="H20" s="210"/>
      <c r="I20" s="210"/>
      <c r="J20" s="210"/>
      <c r="K20" s="211"/>
    </row>
    <row r="21" spans="1:11" ht="22.2" customHeight="1" x14ac:dyDescent="0.3">
      <c r="G21" s="210"/>
      <c r="H21" s="210"/>
      <c r="I21" s="210"/>
      <c r="J21" s="210"/>
      <c r="K21" s="211"/>
    </row>
    <row r="22" spans="1:11" ht="22.2" hidden="1" customHeight="1" thickBot="1" x14ac:dyDescent="0.35">
      <c r="G22" s="210"/>
      <c r="H22" s="210"/>
      <c r="I22" s="210"/>
      <c r="J22" s="210"/>
      <c r="K22" s="211"/>
    </row>
    <row r="23" spans="1:11" ht="15" hidden="1" thickBot="1" x14ac:dyDescent="0.35">
      <c r="A23" s="260" t="s">
        <v>37</v>
      </c>
      <c r="B23" s="323"/>
      <c r="C23" s="323"/>
      <c r="D23" s="323"/>
      <c r="E23" s="324"/>
    </row>
    <row r="24" spans="1:11" ht="15" hidden="1" thickBot="1" x14ac:dyDescent="0.35">
      <c r="A24" s="93" t="s">
        <v>32</v>
      </c>
      <c r="B24" s="94" t="s">
        <v>33</v>
      </c>
      <c r="C24" s="93" t="s">
        <v>26</v>
      </c>
      <c r="D24" s="95" t="s">
        <v>29</v>
      </c>
      <c r="E24" s="94" t="s">
        <v>17</v>
      </c>
    </row>
    <row r="25" spans="1:11" hidden="1" x14ac:dyDescent="0.3">
      <c r="A25" s="98"/>
      <c r="B25" s="99"/>
      <c r="C25" s="100">
        <f>IF((ISBLANK(A25)=TRUE),0,DATEDIF(A25,B25+1,"Y"))</f>
        <v>0</v>
      </c>
      <c r="D25" s="101">
        <f t="shared" ref="D25:D35" si="6">IF((ISBLANK(A25)=TRUE),0,DATEDIF(A25,B25+1,"YM"))</f>
        <v>0</v>
      </c>
      <c r="E25" s="102">
        <f t="shared" ref="E25:E35" si="7">IF((ISBLANK(A25)=TRUE),0,DATEDIF(A25,B25+1,"MD"))</f>
        <v>0</v>
      </c>
    </row>
    <row r="26" spans="1:11" hidden="1" x14ac:dyDescent="0.3">
      <c r="A26" s="115"/>
      <c r="B26" s="116"/>
      <c r="C26" s="105">
        <f>IF((ISBLANK(A26)=TRUE),0,DATEDIF(A26,B26+1,"Y"))</f>
        <v>0</v>
      </c>
      <c r="D26" s="106">
        <f t="shared" si="6"/>
        <v>0</v>
      </c>
      <c r="E26" s="107">
        <f t="shared" si="7"/>
        <v>0</v>
      </c>
    </row>
    <row r="27" spans="1:11" hidden="1" x14ac:dyDescent="0.3">
      <c r="A27" s="115"/>
      <c r="B27" s="116"/>
      <c r="C27" s="105">
        <f>IF((ISBLANK(A27)=TRUE),0,DATEDIF(A27,B27+1,"Y"))</f>
        <v>0</v>
      </c>
      <c r="D27" s="106">
        <f t="shared" si="6"/>
        <v>0</v>
      </c>
      <c r="E27" s="107">
        <f t="shared" si="7"/>
        <v>0</v>
      </c>
    </row>
    <row r="28" spans="1:11" hidden="1" x14ac:dyDescent="0.3">
      <c r="A28" s="115"/>
      <c r="B28" s="116"/>
      <c r="C28" s="105">
        <f t="shared" ref="C28:C35" si="8">IF((ISBLANK(A28)=TRUE),0,DATEDIF(A28,B28+1,"Y"))</f>
        <v>0</v>
      </c>
      <c r="D28" s="106">
        <f t="shared" si="6"/>
        <v>0</v>
      </c>
      <c r="E28" s="107">
        <f t="shared" si="7"/>
        <v>0</v>
      </c>
    </row>
    <row r="29" spans="1:11" hidden="1" x14ac:dyDescent="0.3">
      <c r="A29" s="115"/>
      <c r="B29" s="116"/>
      <c r="C29" s="105">
        <f t="shared" si="8"/>
        <v>0</v>
      </c>
      <c r="D29" s="106">
        <f t="shared" si="6"/>
        <v>0</v>
      </c>
      <c r="E29" s="107">
        <f t="shared" si="7"/>
        <v>0</v>
      </c>
    </row>
    <row r="30" spans="1:11" hidden="1" x14ac:dyDescent="0.3">
      <c r="A30" s="115"/>
      <c r="B30" s="116"/>
      <c r="C30" s="105">
        <f t="shared" si="8"/>
        <v>0</v>
      </c>
      <c r="D30" s="106">
        <f t="shared" si="6"/>
        <v>0</v>
      </c>
      <c r="E30" s="107">
        <f t="shared" si="7"/>
        <v>0</v>
      </c>
    </row>
    <row r="31" spans="1:11" hidden="1" x14ac:dyDescent="0.3">
      <c r="A31" s="115"/>
      <c r="B31" s="116"/>
      <c r="C31" s="105">
        <f t="shared" si="8"/>
        <v>0</v>
      </c>
      <c r="D31" s="106">
        <f t="shared" si="6"/>
        <v>0</v>
      </c>
      <c r="E31" s="107">
        <f t="shared" si="7"/>
        <v>0</v>
      </c>
    </row>
    <row r="32" spans="1:11" hidden="1" x14ac:dyDescent="0.3">
      <c r="A32" s="115"/>
      <c r="B32" s="116"/>
      <c r="C32" s="105">
        <f t="shared" si="8"/>
        <v>0</v>
      </c>
      <c r="D32" s="106">
        <f t="shared" si="6"/>
        <v>0</v>
      </c>
      <c r="E32" s="107">
        <f t="shared" si="7"/>
        <v>0</v>
      </c>
    </row>
    <row r="33" spans="1:11" hidden="1" x14ac:dyDescent="0.3">
      <c r="A33" s="115"/>
      <c r="B33" s="116"/>
      <c r="C33" s="105">
        <f t="shared" si="8"/>
        <v>0</v>
      </c>
      <c r="D33" s="106">
        <f t="shared" si="6"/>
        <v>0</v>
      </c>
      <c r="E33" s="107">
        <f t="shared" si="7"/>
        <v>0</v>
      </c>
    </row>
    <row r="34" spans="1:11" hidden="1" x14ac:dyDescent="0.3">
      <c r="A34" s="115"/>
      <c r="B34" s="116"/>
      <c r="C34" s="105">
        <f t="shared" si="8"/>
        <v>0</v>
      </c>
      <c r="D34" s="106">
        <f t="shared" si="6"/>
        <v>0</v>
      </c>
      <c r="E34" s="107">
        <f t="shared" si="7"/>
        <v>0</v>
      </c>
    </row>
    <row r="35" spans="1:11" ht="15" hidden="1" thickBot="1" x14ac:dyDescent="0.35">
      <c r="A35" s="134"/>
      <c r="B35" s="135"/>
      <c r="C35" s="136">
        <f t="shared" si="8"/>
        <v>0</v>
      </c>
      <c r="D35" s="137">
        <f t="shared" si="6"/>
        <v>0</v>
      </c>
      <c r="E35" s="138">
        <f t="shared" si="7"/>
        <v>0</v>
      </c>
    </row>
    <row r="36" spans="1:11" ht="15" hidden="1" thickBot="1" x14ac:dyDescent="0.35">
      <c r="A36" s="260" t="s">
        <v>30</v>
      </c>
      <c r="B36" s="261"/>
      <c r="C36" s="139">
        <f>SUM(C25:C35)+INT((SUM(D25:D35)+INT(SUM(E25:E35)/30))/12)</f>
        <v>0</v>
      </c>
      <c r="D36" s="139">
        <f>MOD(SUM(D25:D35)+INT(SUM(E25:E35)/30),12)</f>
        <v>0</v>
      </c>
      <c r="E36" s="140">
        <f>MOD(SUM(E25:E35),30)</f>
        <v>0</v>
      </c>
    </row>
    <row r="37" spans="1:11" hidden="1" x14ac:dyDescent="0.3"/>
    <row r="38" spans="1:11" hidden="1" x14ac:dyDescent="0.3"/>
    <row r="39" spans="1:11" x14ac:dyDescent="0.3">
      <c r="G39" s="343" t="s">
        <v>76</v>
      </c>
      <c r="H39" s="343"/>
      <c r="I39" s="343"/>
      <c r="J39" s="343"/>
      <c r="K39" s="343"/>
    </row>
    <row r="40" spans="1:11" x14ac:dyDescent="0.3">
      <c r="G40" s="343"/>
      <c r="H40" s="343"/>
      <c r="I40" s="343"/>
      <c r="J40" s="343"/>
      <c r="K40" s="343"/>
    </row>
    <row r="41" spans="1:11" ht="21.6" customHeight="1" x14ac:dyDescent="0.3">
      <c r="G41" s="343"/>
      <c r="H41" s="343"/>
      <c r="I41" s="343"/>
      <c r="J41" s="343"/>
      <c r="K41" s="343"/>
    </row>
  </sheetData>
  <sheetProtection algorithmName="SHA-512" hashValue="SPhFEiEjZzDoOTRrds5nW1dCWxFIoBWlxfURqWHRdzWE2hS+ZR3G2Vgfg7MmCVrH6p3cS9hdlLGHb4nJoF9yeQ==" saltValue="TZ9FF7VHkZFX47Rhn2UG1A==" spinCount="100000" sheet="1" objects="1" scenarios="1"/>
  <mergeCells count="18">
    <mergeCell ref="G19:J19"/>
    <mergeCell ref="G11:K11"/>
    <mergeCell ref="A1:E1"/>
    <mergeCell ref="A23:E23"/>
    <mergeCell ref="H1:K1"/>
    <mergeCell ref="G39:K41"/>
    <mergeCell ref="A36:B36"/>
    <mergeCell ref="G12:J12"/>
    <mergeCell ref="G13:J13"/>
    <mergeCell ref="A2:E2"/>
    <mergeCell ref="H5:I5"/>
    <mergeCell ref="H8:J8"/>
    <mergeCell ref="A17:B17"/>
    <mergeCell ref="G14:J14"/>
    <mergeCell ref="G15:J15"/>
    <mergeCell ref="G16:J16"/>
    <mergeCell ref="G17:J17"/>
    <mergeCell ref="G18:J18"/>
  </mergeCells>
  <pageMargins left="0.70866141732283472" right="0.70866141732283472" top="0.6692913385826772" bottom="0.43307086614173229" header="0.31496062992125984" footer="0.31496062992125984"/>
  <pageSetup paperSize="9" orientation="landscape" r:id="rId1"/>
  <headerFooter>
    <oddHeader xml:space="preserve">&amp;C&amp;"-,Pogrubiony"KALKULATOR EMERYTALNY 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Roboczy!$B$1:$B$16</xm:f>
          </x14:formula1>
          <xm:sqref>I3</xm:sqref>
        </x14:dataValidation>
        <x14:dataValidation type="list" allowBlank="1" showInputMessage="1" showErrorMessage="1">
          <x14:formula1>
            <xm:f>Roboczy!$D$4:$D$6</xm:f>
          </x14:formula1>
          <xm:sqref>I4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sqref="A1:XFD1048576"/>
    </sheetView>
  </sheetViews>
  <sheetFormatPr defaultColWidth="19.77734375" defaultRowHeight="14.4" x14ac:dyDescent="0.3"/>
  <cols>
    <col min="1" max="16384" width="19.77734375" style="17"/>
  </cols>
  <sheetData>
    <row r="1" spans="1:8" x14ac:dyDescent="0.3">
      <c r="H1" s="17" t="s">
        <v>93</v>
      </c>
    </row>
    <row r="2" spans="1:8" x14ac:dyDescent="0.3">
      <c r="A2" s="246" t="s">
        <v>2</v>
      </c>
      <c r="B2" s="246" t="s">
        <v>2</v>
      </c>
      <c r="C2" s="246" t="s">
        <v>2</v>
      </c>
    </row>
    <row r="3" spans="1:8" x14ac:dyDescent="0.3">
      <c r="A3" s="246" t="s">
        <v>3</v>
      </c>
      <c r="B3" s="246" t="s">
        <v>3</v>
      </c>
      <c r="C3" s="246" t="s">
        <v>3</v>
      </c>
      <c r="F3" s="17" t="s">
        <v>45</v>
      </c>
      <c r="G3" s="52">
        <v>1</v>
      </c>
      <c r="H3" s="246" t="s">
        <v>2</v>
      </c>
    </row>
    <row r="4" spans="1:8" x14ac:dyDescent="0.3">
      <c r="A4" s="246" t="s">
        <v>4</v>
      </c>
      <c r="B4" s="246" t="s">
        <v>4</v>
      </c>
      <c r="C4" s="246" t="s">
        <v>4</v>
      </c>
      <c r="F4" s="17" t="s">
        <v>43</v>
      </c>
      <c r="G4" s="52">
        <v>2</v>
      </c>
      <c r="H4" s="246" t="s">
        <v>3</v>
      </c>
    </row>
    <row r="5" spans="1:8" x14ac:dyDescent="0.3">
      <c r="A5" s="246" t="s">
        <v>5</v>
      </c>
      <c r="B5" s="246" t="s">
        <v>5</v>
      </c>
      <c r="C5" s="246" t="s">
        <v>18</v>
      </c>
      <c r="D5" s="247" t="s">
        <v>18</v>
      </c>
      <c r="F5" s="246" t="s">
        <v>44</v>
      </c>
      <c r="G5" s="52">
        <v>3</v>
      </c>
      <c r="H5" s="246" t="s">
        <v>4</v>
      </c>
    </row>
    <row r="6" spans="1:8" x14ac:dyDescent="0.3">
      <c r="A6" s="246" t="s">
        <v>18</v>
      </c>
      <c r="B6" s="246" t="s">
        <v>18</v>
      </c>
      <c r="C6" s="246" t="s">
        <v>5</v>
      </c>
      <c r="D6" s="247" t="s">
        <v>11</v>
      </c>
      <c r="F6" s="246" t="s">
        <v>46</v>
      </c>
      <c r="G6" s="52">
        <v>4</v>
      </c>
      <c r="H6" s="246" t="s">
        <v>5</v>
      </c>
    </row>
    <row r="7" spans="1:8" x14ac:dyDescent="0.3">
      <c r="A7" s="246" t="s">
        <v>11</v>
      </c>
      <c r="B7" s="246" t="s">
        <v>11</v>
      </c>
      <c r="C7" s="246" t="s">
        <v>11</v>
      </c>
      <c r="H7" s="246" t="s">
        <v>6</v>
      </c>
    </row>
    <row r="8" spans="1:8" x14ac:dyDescent="0.3">
      <c r="A8" s="246" t="s">
        <v>6</v>
      </c>
      <c r="B8" s="246" t="s">
        <v>6</v>
      </c>
      <c r="C8" s="246" t="s">
        <v>6</v>
      </c>
      <c r="H8" s="246" t="s">
        <v>7</v>
      </c>
    </row>
    <row r="9" spans="1:8" x14ac:dyDescent="0.3">
      <c r="A9" s="246" t="s">
        <v>7</v>
      </c>
      <c r="B9" s="246" t="s">
        <v>7</v>
      </c>
      <c r="C9" s="246" t="s">
        <v>7</v>
      </c>
      <c r="F9" s="246" t="s">
        <v>44</v>
      </c>
      <c r="G9" s="17" t="s">
        <v>49</v>
      </c>
      <c r="H9" s="246" t="s">
        <v>1</v>
      </c>
    </row>
    <row r="10" spans="1:8" x14ac:dyDescent="0.3">
      <c r="A10" s="246" t="s">
        <v>1</v>
      </c>
      <c r="B10" s="246" t="s">
        <v>1</v>
      </c>
      <c r="C10" s="246" t="s">
        <v>1</v>
      </c>
      <c r="F10" s="17" t="s">
        <v>43</v>
      </c>
      <c r="G10" s="17" t="s">
        <v>50</v>
      </c>
      <c r="H10" s="246" t="s">
        <v>9</v>
      </c>
    </row>
    <row r="11" spans="1:8" x14ac:dyDescent="0.3">
      <c r="A11" s="246" t="s">
        <v>13</v>
      </c>
      <c r="B11" s="246" t="s">
        <v>13</v>
      </c>
      <c r="C11" s="246" t="s">
        <v>13</v>
      </c>
      <c r="F11" s="17" t="s">
        <v>48</v>
      </c>
      <c r="G11" s="17" t="s">
        <v>51</v>
      </c>
      <c r="H11" s="246" t="s">
        <v>10</v>
      </c>
    </row>
    <row r="12" spans="1:8" x14ac:dyDescent="0.3">
      <c r="A12" s="246" t="s">
        <v>9</v>
      </c>
      <c r="B12" s="246" t="s">
        <v>9</v>
      </c>
      <c r="C12" s="246" t="s">
        <v>8</v>
      </c>
      <c r="F12" s="246" t="s">
        <v>47</v>
      </c>
      <c r="G12" s="17" t="s">
        <v>52</v>
      </c>
      <c r="H12" s="246" t="s">
        <v>12</v>
      </c>
    </row>
    <row r="13" spans="1:8" x14ac:dyDescent="0.3">
      <c r="A13" s="246" t="s">
        <v>10</v>
      </c>
      <c r="B13" s="246" t="s">
        <v>10</v>
      </c>
      <c r="C13" s="246"/>
      <c r="H13" s="246" t="s">
        <v>55</v>
      </c>
    </row>
    <row r="14" spans="1:8" x14ac:dyDescent="0.3">
      <c r="A14" s="246" t="s">
        <v>12</v>
      </c>
      <c r="B14" s="246" t="s">
        <v>12</v>
      </c>
      <c r="C14" s="246"/>
      <c r="H14" s="246" t="s">
        <v>8</v>
      </c>
    </row>
    <row r="15" spans="1:8" x14ac:dyDescent="0.3">
      <c r="A15" s="246" t="s">
        <v>55</v>
      </c>
      <c r="B15" s="246" t="s">
        <v>8</v>
      </c>
      <c r="C15" s="246"/>
    </row>
    <row r="16" spans="1:8" x14ac:dyDescent="0.3">
      <c r="A16" s="246" t="s">
        <v>8</v>
      </c>
      <c r="B16" s="246"/>
      <c r="C16" s="246"/>
    </row>
    <row r="17" spans="1:6" x14ac:dyDescent="0.3">
      <c r="C17" s="246" t="s">
        <v>54</v>
      </c>
      <c r="F17" s="246" t="s">
        <v>54</v>
      </c>
    </row>
    <row r="18" spans="1:6" x14ac:dyDescent="0.3">
      <c r="C18" s="246" t="s">
        <v>2</v>
      </c>
      <c r="F18" s="246" t="s">
        <v>2</v>
      </c>
    </row>
    <row r="19" spans="1:6" x14ac:dyDescent="0.3">
      <c r="C19" s="246" t="s">
        <v>3</v>
      </c>
      <c r="F19" s="246" t="s">
        <v>3</v>
      </c>
    </row>
    <row r="20" spans="1:6" x14ac:dyDescent="0.3">
      <c r="C20" s="246" t="s">
        <v>4</v>
      </c>
      <c r="F20" s="246" t="s">
        <v>5</v>
      </c>
    </row>
    <row r="21" spans="1:6" x14ac:dyDescent="0.3">
      <c r="A21" s="246" t="s">
        <v>21</v>
      </c>
      <c r="B21" s="246"/>
      <c r="C21" s="246" t="s">
        <v>5</v>
      </c>
      <c r="F21" s="246" t="s">
        <v>7</v>
      </c>
    </row>
    <row r="22" spans="1:6" x14ac:dyDescent="0.3">
      <c r="A22" s="246" t="s">
        <v>22</v>
      </c>
      <c r="B22" s="246"/>
      <c r="C22" s="246" t="s">
        <v>7</v>
      </c>
      <c r="F22" s="246" t="s">
        <v>1</v>
      </c>
    </row>
    <row r="23" spans="1:6" x14ac:dyDescent="0.3">
      <c r="C23" s="246" t="s">
        <v>1</v>
      </c>
      <c r="F23" s="246" t="s">
        <v>13</v>
      </c>
    </row>
    <row r="24" spans="1:6" x14ac:dyDescent="0.3">
      <c r="C24" s="246" t="s">
        <v>13</v>
      </c>
      <c r="F24" s="246"/>
    </row>
    <row r="28" spans="1:6" x14ac:dyDescent="0.3">
      <c r="C28" s="246"/>
    </row>
  </sheetData>
  <sheetProtection algorithmName="SHA-512" hashValue="pAqof+aIvCco6juwenALdUTVCZ0qGGZbAGUzO1Db5oBqpaOfb6ChCaElenZqExCen5HiKKzrRxbbRhHmDEFTmw==" saltValue="t7cpJatTYtiItpZqE93rY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4</vt:i4>
      </vt:variant>
    </vt:vector>
  </HeadingPairs>
  <TitlesOfParts>
    <vt:vector size="10" baseType="lpstr">
      <vt:lpstr>INSTRUKCJA</vt:lpstr>
      <vt:lpstr>Podstawa wymiaru 10 lat SC_SCS</vt:lpstr>
      <vt:lpstr>art. 15d lub 15e SCS</vt:lpstr>
      <vt:lpstr>art. 15aa SCS</vt:lpstr>
      <vt:lpstr>art. 18e SCS</vt:lpstr>
      <vt:lpstr>Roboczy</vt:lpstr>
      <vt:lpstr>'art. 15aa SCS'!Obszar_wydruku</vt:lpstr>
      <vt:lpstr>'art. 15d lub 15e SCS'!Obszar_wydruku</vt:lpstr>
      <vt:lpstr>'art. 18e SCS'!Obszar_wydruku</vt:lpstr>
      <vt:lpstr>'Podstawa wymiaru 10 lat SC_SCS'!Obszar_wydruku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Kozoń-Konter</dc:creator>
  <cp:lastModifiedBy>Patrycja Suchowiecka</cp:lastModifiedBy>
  <cp:lastPrinted>2022-12-18T14:12:19Z</cp:lastPrinted>
  <dcterms:created xsi:type="dcterms:W3CDTF">2018-06-27T19:52:39Z</dcterms:created>
  <dcterms:modified xsi:type="dcterms:W3CDTF">2022-12-29T11:20:43Z</dcterms:modified>
</cp:coreProperties>
</file>