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8EA292D7-66C0-41E2-8AAD-A7BB00263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1" i="7" l="1"/>
  <c r="A29" i="7"/>
  <c r="A85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<sst xmlns="http://schemas.openxmlformats.org/spreadsheetml/2006/main" count="97" uniqueCount="81">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</sst>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 Kwartał 2025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4437460248.19</f>
        <v>4437460248.1899996</v>
      </c>
      <c r="C13" s="20">
        <f>2647653521.4</f>
        <v>2647653521.4000001</v>
      </c>
      <c r="D13" s="20">
        <f>159058523.16</f>
        <v>159058523.16</v>
      </c>
      <c r="E13" s="20">
        <f>158000458</f>
        <v>158000458</v>
      </c>
      <c r="F13" s="20">
        <f>0</f>
        <v>0</v>
      </c>
      <c r="G13" s="20">
        <f>1058065.16</f>
        <v>1058065.1599999999</v>
      </c>
      <c r="H13" s="20">
        <f>0</f>
        <v>0</v>
      </c>
      <c r="I13" s="20">
        <f>0</f>
        <v>0</v>
      </c>
      <c r="J13" s="20">
        <f>2348108434.41</f>
        <v>2348108434.4099998</v>
      </c>
      <c r="K13" s="20">
        <f>0</f>
        <v>0</v>
      </c>
      <c r="L13" s="20">
        <f>140128895.37</f>
        <v>140128895.37</v>
      </c>
      <c r="M13" s="20">
        <f>350533.76</f>
        <v>350533.76</v>
      </c>
      <c r="N13" s="20">
        <f>7134.7</f>
        <v>7134.7</v>
      </c>
      <c r="O13" s="20">
        <f>1789806726.79</f>
        <v>1789806726.79</v>
      </c>
      <c r="P13" s="20">
        <f>1789806726.79</f>
        <v>1789806726.79</v>
      </c>
      <c r="Q13" s="20">
        <f>0</f>
        <v>0</v>
      </c>
    </row>
    <row r="14" spans="1:17" ht="28.5" customHeight="1" x14ac:dyDescent="0.2">
      <c r="A14" s="19" t="s">
        <v>45</v>
      </c>
      <c r="B14" s="20">
        <f>585950000</f>
        <v>585950000</v>
      </c>
      <c r="C14" s="20">
        <f>585950000</f>
        <v>585950000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585950000</f>
        <v>585950000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585950000</f>
        <v>585950000</v>
      </c>
      <c r="C16" s="21">
        <f>585950000</f>
        <v>585950000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585950000</f>
        <v>585950000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3850821326.47</f>
        <v>3850821326.4699998</v>
      </c>
      <c r="C17" s="20">
        <f>2061014599.68</f>
        <v>2061014599.6800001</v>
      </c>
      <c r="D17" s="20">
        <f>159031040.52</f>
        <v>159031040.52000001</v>
      </c>
      <c r="E17" s="20">
        <f>158000000</f>
        <v>158000000</v>
      </c>
      <c r="F17" s="20">
        <f>0</f>
        <v>0</v>
      </c>
      <c r="G17" s="20">
        <f>1031040.52</f>
        <v>1031040.52</v>
      </c>
      <c r="H17" s="20">
        <f>0</f>
        <v>0</v>
      </c>
      <c r="I17" s="20">
        <f>0</f>
        <v>0</v>
      </c>
      <c r="J17" s="20">
        <f>1762158434.41</f>
        <v>1762158434.4100001</v>
      </c>
      <c r="K17" s="20">
        <f>0</f>
        <v>0</v>
      </c>
      <c r="L17" s="20">
        <f>139825124.75</f>
        <v>139825124.75</v>
      </c>
      <c r="M17" s="20">
        <f>0</f>
        <v>0</v>
      </c>
      <c r="N17" s="20">
        <f>0</f>
        <v>0</v>
      </c>
      <c r="O17" s="20">
        <f>1789806726.79</f>
        <v>1789806726.79</v>
      </c>
      <c r="P17" s="20">
        <f>1789806726.79</f>
        <v>1789806726.79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3850821326.47</f>
        <v>3850821326.4699998</v>
      </c>
      <c r="C19" s="21">
        <f>2061014599.68</f>
        <v>2061014599.6800001</v>
      </c>
      <c r="D19" s="21">
        <f>159031040.52</f>
        <v>159031040.52000001</v>
      </c>
      <c r="E19" s="21">
        <f>158000000</f>
        <v>158000000</v>
      </c>
      <c r="F19" s="21">
        <f>0</f>
        <v>0</v>
      </c>
      <c r="G19" s="21">
        <f>1031040.52</f>
        <v>1031040.52</v>
      </c>
      <c r="H19" s="21">
        <f>0</f>
        <v>0</v>
      </c>
      <c r="I19" s="21">
        <f>0</f>
        <v>0</v>
      </c>
      <c r="J19" s="21">
        <f>1762158434.41</f>
        <v>1762158434.4100001</v>
      </c>
      <c r="K19" s="21">
        <f>0</f>
        <v>0</v>
      </c>
      <c r="L19" s="21">
        <f>139825124.75</f>
        <v>139825124.75</v>
      </c>
      <c r="M19" s="21">
        <f>0</f>
        <v>0</v>
      </c>
      <c r="N19" s="21">
        <f>0</f>
        <v>0</v>
      </c>
      <c r="O19" s="21">
        <f>1789806726.79</f>
        <v>1789806726.79</v>
      </c>
      <c r="P19" s="21">
        <f>1789806726.79</f>
        <v>1789806726.79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688921.72</f>
        <v>688921.72</v>
      </c>
      <c r="C21" s="20">
        <f>688921.72</f>
        <v>688921.72</v>
      </c>
      <c r="D21" s="20">
        <f>27482.64</f>
        <v>27482.639999999999</v>
      </c>
      <c r="E21" s="20">
        <f>458</f>
        <v>458</v>
      </c>
      <c r="F21" s="20">
        <f>0</f>
        <v>0</v>
      </c>
      <c r="G21" s="20">
        <f>27024.64</f>
        <v>27024.639999999999</v>
      </c>
      <c r="H21" s="20">
        <f>0</f>
        <v>0</v>
      </c>
      <c r="I21" s="20">
        <f>0</f>
        <v>0</v>
      </c>
      <c r="J21" s="20">
        <f>0</f>
        <v>0</v>
      </c>
      <c r="K21" s="20">
        <f>0</f>
        <v>0</v>
      </c>
      <c r="L21" s="20">
        <f>303770.62</f>
        <v>303770.62</v>
      </c>
      <c r="M21" s="20">
        <f>350533.76</f>
        <v>350533.76</v>
      </c>
      <c r="N21" s="20">
        <f>7134.7</f>
        <v>7134.7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365262.2</f>
        <v>365262.2</v>
      </c>
      <c r="C22" s="21">
        <f>365262.2</f>
        <v>365262.2</v>
      </c>
      <c r="D22" s="21">
        <f>27024.64</f>
        <v>27024.639999999999</v>
      </c>
      <c r="E22" s="21">
        <f>0</f>
        <v>0</v>
      </c>
      <c r="F22" s="21">
        <f>0</f>
        <v>0</v>
      </c>
      <c r="G22" s="21">
        <f>27024.64</f>
        <v>27024.639999999999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296874.94</f>
        <v>296874.94</v>
      </c>
      <c r="M22" s="21">
        <f>34227.92</f>
        <v>34227.919999999998</v>
      </c>
      <c r="N22" s="21">
        <f>7134.7</f>
        <v>7134.7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323659.52</f>
        <v>323659.52000000002</v>
      </c>
      <c r="C23" s="21">
        <f>323659.52</f>
        <v>323659.52000000002</v>
      </c>
      <c r="D23" s="21">
        <f>458</f>
        <v>458</v>
      </c>
      <c r="E23" s="21">
        <f>458</f>
        <v>458</v>
      </c>
      <c r="F23" s="21">
        <f>0</f>
        <v>0</v>
      </c>
      <c r="G23" s="21">
        <f>0</f>
        <v>0</v>
      </c>
      <c r="H23" s="21">
        <f>0</f>
        <v>0</v>
      </c>
      <c r="I23" s="21">
        <f>0</f>
        <v>0</v>
      </c>
      <c r="J23" s="21">
        <f>0</f>
        <v>0</v>
      </c>
      <c r="K23" s="21">
        <f>0</f>
        <v>0</v>
      </c>
      <c r="L23" s="21">
        <f>6895.68</f>
        <v>6895.68</v>
      </c>
      <c r="M23" s="21">
        <f>316305.84</f>
        <v>316305.84000000003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 Kwartał 2025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689392520.24</f>
        <v>689392520.24000001</v>
      </c>
      <c r="C43" s="22">
        <f>689392520.24</f>
        <v>689392520.24000001</v>
      </c>
      <c r="D43" s="22">
        <f>607972407.92</f>
        <v>607972407.91999996</v>
      </c>
      <c r="E43" s="22">
        <f>70087.89</f>
        <v>70087.89</v>
      </c>
      <c r="F43" s="22">
        <f>7134.7</f>
        <v>7134.7</v>
      </c>
      <c r="G43" s="22">
        <f>607895185.33</f>
        <v>607895185.33000004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76329769.36</f>
        <v>76329769.359999999</v>
      </c>
      <c r="M43" s="22">
        <f>3977586.92</f>
        <v>3977586.92</v>
      </c>
      <c r="N43" s="22">
        <f>1112756.04</f>
        <v>1112756.04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30410512.87</f>
        <v>30410512.870000001</v>
      </c>
      <c r="C44" s="23">
        <f>30410512.87</f>
        <v>30410512.870000001</v>
      </c>
      <c r="D44" s="23">
        <f>30327491.25</f>
        <v>30327491.25</v>
      </c>
      <c r="E44" s="23">
        <f>0</f>
        <v>0</v>
      </c>
      <c r="F44" s="23">
        <f>0</f>
        <v>0</v>
      </c>
      <c r="G44" s="23">
        <f>30327491.25</f>
        <v>30327491.25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658982007.37</f>
        <v>658982007.37</v>
      </c>
      <c r="C45" s="23">
        <f>658982007.37</f>
        <v>658982007.37</v>
      </c>
      <c r="D45" s="23">
        <f>577644916.67</f>
        <v>577644916.66999996</v>
      </c>
      <c r="E45" s="23">
        <f>70087.89</f>
        <v>70087.89</v>
      </c>
      <c r="F45" s="23">
        <f>7134.7</f>
        <v>7134.7</v>
      </c>
      <c r="G45" s="23">
        <f>577567694.08</f>
        <v>577567694.08000004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76246747.74</f>
        <v>76246747.739999995</v>
      </c>
      <c r="M45" s="23">
        <f>3977586.92</f>
        <v>3977586.92</v>
      </c>
      <c r="N45" s="23">
        <f>1112756.04</f>
        <v>1112756.04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12513224641.27</f>
        <v>12513224641.27</v>
      </c>
      <c r="C46" s="22">
        <f>12512963590.52</f>
        <v>12512963590.52</v>
      </c>
      <c r="D46" s="22">
        <f>342138.33</f>
        <v>342138.33</v>
      </c>
      <c r="E46" s="22">
        <f>600</f>
        <v>600</v>
      </c>
      <c r="F46" s="22">
        <f>16265.52</f>
        <v>16265.52</v>
      </c>
      <c r="G46" s="22">
        <f>325272.81</f>
        <v>325272.81</v>
      </c>
      <c r="H46" s="22">
        <f>0</f>
        <v>0</v>
      </c>
      <c r="I46" s="22">
        <f>0</f>
        <v>0</v>
      </c>
      <c r="J46" s="22">
        <f>12506695572.54</f>
        <v>12506695572.540001</v>
      </c>
      <c r="K46" s="22">
        <f>0</f>
        <v>0</v>
      </c>
      <c r="L46" s="22">
        <f>5916816.02</f>
        <v>5916816.0199999996</v>
      </c>
      <c r="M46" s="22">
        <f>9063.63</f>
        <v>9063.6299999999992</v>
      </c>
      <c r="N46" s="22">
        <f>0</f>
        <v>0</v>
      </c>
      <c r="O46" s="22">
        <f>261050.75</f>
        <v>261050.75</v>
      </c>
      <c r="P46" s="22">
        <f>261050.75</f>
        <v>261050.75</v>
      </c>
      <c r="Q46" s="22">
        <f>0</f>
        <v>0</v>
      </c>
    </row>
    <row r="47" spans="1:17" ht="24" customHeight="1" x14ac:dyDescent="0.2">
      <c r="A47" s="18" t="s">
        <v>33</v>
      </c>
      <c r="B47" s="23">
        <f>325272.81</f>
        <v>325272.81</v>
      </c>
      <c r="C47" s="23">
        <f>325272.81</f>
        <v>325272.81</v>
      </c>
      <c r="D47" s="23">
        <f>325272.81</f>
        <v>325272.81</v>
      </c>
      <c r="E47" s="23">
        <f>0</f>
        <v>0</v>
      </c>
      <c r="F47" s="23">
        <f>0</f>
        <v>0</v>
      </c>
      <c r="G47" s="23">
        <f>325272.81</f>
        <v>325272.81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7543939023.7</f>
        <v>7543939023.6999998</v>
      </c>
      <c r="C48" s="23">
        <f>7543939023.7</f>
        <v>7543939023.6999998</v>
      </c>
      <c r="D48" s="23">
        <f>600</f>
        <v>600</v>
      </c>
      <c r="E48" s="23">
        <f>600</f>
        <v>600</v>
      </c>
      <c r="F48" s="23">
        <f>0</f>
        <v>0</v>
      </c>
      <c r="G48" s="23">
        <f>0</f>
        <v>0</v>
      </c>
      <c r="H48" s="23">
        <f>0</f>
        <v>0</v>
      </c>
      <c r="I48" s="23">
        <f>0</f>
        <v>0</v>
      </c>
      <c r="J48" s="23">
        <f>7538045381.47</f>
        <v>7538045381.4700003</v>
      </c>
      <c r="K48" s="23">
        <f>0</f>
        <v>0</v>
      </c>
      <c r="L48" s="23">
        <f>5883978.6</f>
        <v>5883978.5999999996</v>
      </c>
      <c r="M48" s="23">
        <f>9063.63</f>
        <v>9063.6299999999992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4968960344.76</f>
        <v>4968960344.7600002</v>
      </c>
      <c r="C49" s="23">
        <f>4968699294.01</f>
        <v>4968699294.0100002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4968650191.07</f>
        <v>4968650191.0699997</v>
      </c>
      <c r="K49" s="23">
        <f>0</f>
        <v>0</v>
      </c>
      <c r="L49" s="23">
        <f>32837.42</f>
        <v>32837.42</v>
      </c>
      <c r="M49" s="23">
        <f>0</f>
        <v>0</v>
      </c>
      <c r="N49" s="23">
        <f>0</f>
        <v>0</v>
      </c>
      <c r="O49" s="23">
        <f>261050.75</f>
        <v>261050.75</v>
      </c>
      <c r="P49" s="23">
        <f>261050.75</f>
        <v>261050.75</v>
      </c>
      <c r="Q49" s="23">
        <f>0</f>
        <v>0</v>
      </c>
    </row>
    <row r="50" spans="1:17" ht="30.75" customHeight="1" x14ac:dyDescent="0.2">
      <c r="A50" s="24" t="s">
        <v>43</v>
      </c>
      <c r="B50" s="22">
        <f>5160520624.02</f>
        <v>5160520624.0200005</v>
      </c>
      <c r="C50" s="22">
        <f>5158122799.21</f>
        <v>5158122799.21</v>
      </c>
      <c r="D50" s="22">
        <f>15120232.62</f>
        <v>15120232.619999999</v>
      </c>
      <c r="E50" s="22">
        <f>528376.42</f>
        <v>528376.42000000004</v>
      </c>
      <c r="F50" s="22">
        <f>1117783.07</f>
        <v>1117783.07</v>
      </c>
      <c r="G50" s="22">
        <f>13470992.63</f>
        <v>13470992.630000001</v>
      </c>
      <c r="H50" s="22">
        <f>3080.5</f>
        <v>3080.5</v>
      </c>
      <c r="I50" s="22">
        <f>0</f>
        <v>0</v>
      </c>
      <c r="J50" s="22">
        <f>64108.28</f>
        <v>64108.28</v>
      </c>
      <c r="K50" s="22">
        <f>15874855.41</f>
        <v>15874855.41</v>
      </c>
      <c r="L50" s="22">
        <f>2161659946.6</f>
        <v>2161659946.5999999</v>
      </c>
      <c r="M50" s="22">
        <f>2935734217.05</f>
        <v>2935734217.0500002</v>
      </c>
      <c r="N50" s="22">
        <f>29669439.25</f>
        <v>29669439.25</v>
      </c>
      <c r="O50" s="22">
        <f>2397824.81</f>
        <v>2397824.81</v>
      </c>
      <c r="P50" s="22">
        <f>1862160.95</f>
        <v>1862160.95</v>
      </c>
      <c r="Q50" s="22">
        <f>535663.86</f>
        <v>535663.86</v>
      </c>
    </row>
    <row r="51" spans="1:17" ht="30" customHeight="1" x14ac:dyDescent="0.2">
      <c r="A51" s="18" t="s">
        <v>36</v>
      </c>
      <c r="B51" s="23">
        <f>102907531.57</f>
        <v>102907531.56999999</v>
      </c>
      <c r="C51" s="23">
        <f>102900223.95</f>
        <v>102900223.95</v>
      </c>
      <c r="D51" s="23">
        <f>1389763.42</f>
        <v>1389763.42</v>
      </c>
      <c r="E51" s="23">
        <f>0</f>
        <v>0</v>
      </c>
      <c r="F51" s="23">
        <f>1608.27</f>
        <v>1608.27</v>
      </c>
      <c r="G51" s="23">
        <f>1388155.15</f>
        <v>1388155.15</v>
      </c>
      <c r="H51" s="23">
        <f>0</f>
        <v>0</v>
      </c>
      <c r="I51" s="23">
        <f>0</f>
        <v>0</v>
      </c>
      <c r="J51" s="23">
        <f>999.91</f>
        <v>999.91</v>
      </c>
      <c r="K51" s="23">
        <f>0</f>
        <v>0</v>
      </c>
      <c r="L51" s="23">
        <f>87517301.71</f>
        <v>87517301.709999993</v>
      </c>
      <c r="M51" s="23">
        <f>13298584.96</f>
        <v>13298584.960000001</v>
      </c>
      <c r="N51" s="23">
        <f>693573.95</f>
        <v>693573.95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5057613092.45</f>
        <v>5057613092.4499998</v>
      </c>
      <c r="C52" s="23">
        <f>5055222575.26</f>
        <v>5055222575.2600002</v>
      </c>
      <c r="D52" s="23">
        <f>13730469.2</f>
        <v>13730469.199999999</v>
      </c>
      <c r="E52" s="23">
        <f>528376.42</f>
        <v>528376.42000000004</v>
      </c>
      <c r="F52" s="23">
        <f>1116174.8</f>
        <v>1116174.8</v>
      </c>
      <c r="G52" s="23">
        <f>12082837.48</f>
        <v>12082837.48</v>
      </c>
      <c r="H52" s="23">
        <f>3080.5</f>
        <v>3080.5</v>
      </c>
      <c r="I52" s="23">
        <f>0</f>
        <v>0</v>
      </c>
      <c r="J52" s="23">
        <f>63108.37</f>
        <v>63108.37</v>
      </c>
      <c r="K52" s="23">
        <f>15874855.41</f>
        <v>15874855.41</v>
      </c>
      <c r="L52" s="23">
        <f>2074142644.89</f>
        <v>2074142644.8900001</v>
      </c>
      <c r="M52" s="23">
        <f>2922435632.09</f>
        <v>2922435632.0900002</v>
      </c>
      <c r="N52" s="23">
        <f>28975865.3</f>
        <v>28975865.300000001</v>
      </c>
      <c r="O52" s="23">
        <f>2390517.19</f>
        <v>2390517.19</v>
      </c>
      <c r="P52" s="23">
        <f>1854853.33</f>
        <v>1854853.33</v>
      </c>
      <c r="Q52" s="23">
        <f>535663.86</f>
        <v>535663.86</v>
      </c>
    </row>
    <row r="53" spans="1:17" ht="30.75" customHeight="1" x14ac:dyDescent="0.2">
      <c r="A53" s="24" t="s">
        <v>44</v>
      </c>
      <c r="B53" s="22">
        <f>1522438689.54</f>
        <v>1522438689.54</v>
      </c>
      <c r="C53" s="22">
        <f>1518852313.11</f>
        <v>1518852313.1099999</v>
      </c>
      <c r="D53" s="22">
        <f>170703837.77</f>
        <v>170703837.77000001</v>
      </c>
      <c r="E53" s="22">
        <f>28661087.53</f>
        <v>28661087.530000001</v>
      </c>
      <c r="F53" s="22">
        <f>957363.25</f>
        <v>957363.25</v>
      </c>
      <c r="G53" s="22">
        <f>140646556.23</f>
        <v>140646556.22999999</v>
      </c>
      <c r="H53" s="22">
        <f>438830.76</f>
        <v>438830.76</v>
      </c>
      <c r="I53" s="22">
        <f>0</f>
        <v>0</v>
      </c>
      <c r="J53" s="22">
        <f>471218.52</f>
        <v>471218.52</v>
      </c>
      <c r="K53" s="22">
        <f>25306.64</f>
        <v>25306.639999999999</v>
      </c>
      <c r="L53" s="22">
        <f>1092700443.3</f>
        <v>1092700443.3</v>
      </c>
      <c r="M53" s="22">
        <f>243990610.62</f>
        <v>243990610.62</v>
      </c>
      <c r="N53" s="22">
        <f>10960896.26</f>
        <v>10960896.26</v>
      </c>
      <c r="O53" s="22">
        <f>3586376.43</f>
        <v>3586376.43</v>
      </c>
      <c r="P53" s="22">
        <f>2564376.37</f>
        <v>2564376.37</v>
      </c>
      <c r="Q53" s="22">
        <f>1022000.06</f>
        <v>1022000.06</v>
      </c>
    </row>
    <row r="54" spans="1:17" ht="30" customHeight="1" x14ac:dyDescent="0.2">
      <c r="A54" s="18" t="s">
        <v>38</v>
      </c>
      <c r="B54" s="23">
        <f>48234204.54</f>
        <v>48234204.539999999</v>
      </c>
      <c r="C54" s="23">
        <f>48184117.52</f>
        <v>48184117.520000003</v>
      </c>
      <c r="D54" s="23">
        <f>3850431.27</f>
        <v>3850431.27</v>
      </c>
      <c r="E54" s="23">
        <f>109717.59</f>
        <v>109717.59</v>
      </c>
      <c r="F54" s="23">
        <f>135609.09</f>
        <v>135609.09</v>
      </c>
      <c r="G54" s="23">
        <f>3605104.59</f>
        <v>3605104.59</v>
      </c>
      <c r="H54" s="23">
        <f>0</f>
        <v>0</v>
      </c>
      <c r="I54" s="23">
        <f>0</f>
        <v>0</v>
      </c>
      <c r="J54" s="23">
        <f>307.5</f>
        <v>307.5</v>
      </c>
      <c r="K54" s="23">
        <f>742.66</f>
        <v>742.66</v>
      </c>
      <c r="L54" s="23">
        <f>40767507.63</f>
        <v>40767507.630000003</v>
      </c>
      <c r="M54" s="23">
        <f>3103048.93</f>
        <v>3103048.93</v>
      </c>
      <c r="N54" s="23">
        <f>462079.53</f>
        <v>462079.53</v>
      </c>
      <c r="O54" s="23">
        <f>50087.02</f>
        <v>50087.02</v>
      </c>
      <c r="P54" s="23">
        <f>49301.96</f>
        <v>49301.96</v>
      </c>
      <c r="Q54" s="23">
        <f>785.06</f>
        <v>785.06</v>
      </c>
    </row>
    <row r="55" spans="1:17" ht="33" customHeight="1" x14ac:dyDescent="0.2">
      <c r="A55" s="18" t="s">
        <v>80</v>
      </c>
      <c r="B55" s="23">
        <f>11.96</f>
        <v>11.96</v>
      </c>
      <c r="C55" s="23">
        <f>11.96</f>
        <v>11.96</v>
      </c>
      <c r="D55" s="23">
        <f>11.96</f>
        <v>11.96</v>
      </c>
      <c r="E55" s="23">
        <f>0</f>
        <v>0</v>
      </c>
      <c r="F55" s="23">
        <f>0</f>
        <v>0</v>
      </c>
      <c r="G55" s="23">
        <f>0</f>
        <v>0</v>
      </c>
      <c r="H55" s="23">
        <f>11.96</f>
        <v>11.96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1474204473.04</f>
        <v>1474204473.04</v>
      </c>
      <c r="C56" s="23">
        <f>1470668183.63</f>
        <v>1470668183.6300001</v>
      </c>
      <c r="D56" s="23">
        <f>166853394.54</f>
        <v>166853394.53999999</v>
      </c>
      <c r="E56" s="23">
        <f>28551369.94</f>
        <v>28551369.940000001</v>
      </c>
      <c r="F56" s="23">
        <f>821754.16</f>
        <v>821754.16</v>
      </c>
      <c r="G56" s="23">
        <f>137041451.64</f>
        <v>137041451.63999999</v>
      </c>
      <c r="H56" s="23">
        <f>438818.8</f>
        <v>438818.8</v>
      </c>
      <c r="I56" s="23">
        <f>0</f>
        <v>0</v>
      </c>
      <c r="J56" s="23">
        <f>470911.02</f>
        <v>470911.02</v>
      </c>
      <c r="K56" s="23">
        <f>24563.98</f>
        <v>24563.98</v>
      </c>
      <c r="L56" s="23">
        <f>1051932935.67</f>
        <v>1051932935.67</v>
      </c>
      <c r="M56" s="23">
        <f>240887561.69</f>
        <v>240887561.69</v>
      </c>
      <c r="N56" s="23">
        <f>10498816.73</f>
        <v>10498816.73</v>
      </c>
      <c r="O56" s="23">
        <f>3536289.41</f>
        <v>3536289.41</v>
      </c>
      <c r="P56" s="23">
        <f>2515074.41</f>
        <v>2515074.41</v>
      </c>
      <c r="Q56" s="23">
        <f>1021215</f>
        <v>1021215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 Kwartał 2025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1072843178</f>
        <v>1072843178</v>
      </c>
      <c r="G76" s="25">
        <f>300455887.71</f>
        <v>300455887.70999998</v>
      </c>
      <c r="H76" s="25">
        <f>0</f>
        <v>0</v>
      </c>
      <c r="I76" s="25">
        <f>0</f>
        <v>0</v>
      </c>
      <c r="J76" s="25">
        <f>300455887.71</f>
        <v>300455887.70999998</v>
      </c>
      <c r="K76" s="25">
        <f>0</f>
        <v>0</v>
      </c>
      <c r="L76" s="25">
        <f>772387290.29</f>
        <v>772387290.28999996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13000000</f>
        <v>13000000</v>
      </c>
      <c r="G78" s="25">
        <f>0</f>
        <v>0</v>
      </c>
      <c r="H78" s="25">
        <f>0</f>
        <v>0</v>
      </c>
      <c r="I78" s="25">
        <f>0</f>
        <v>0</v>
      </c>
      <c r="J78" s="25">
        <f>0</f>
        <v>0</v>
      </c>
      <c r="K78" s="25">
        <f>0</f>
        <v>0</v>
      </c>
      <c r="L78" s="25">
        <f>13000000</f>
        <v>13000000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18470215.66</f>
        <v>18470215.66</v>
      </c>
      <c r="G79" s="25">
        <f>11351815.76</f>
        <v>11351815.76</v>
      </c>
      <c r="H79" s="25">
        <f>0</f>
        <v>0</v>
      </c>
      <c r="I79" s="25">
        <f>0</f>
        <v>0</v>
      </c>
      <c r="J79" s="25">
        <f>11351815.76</f>
        <v>11351815.76</v>
      </c>
      <c r="K79" s="25">
        <f>0</f>
        <v>0</v>
      </c>
      <c r="L79" s="25">
        <f>7118399.9</f>
        <v>7118399.9000000004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1434405.03</f>
        <v>1434405.03</v>
      </c>
      <c r="G80" s="25">
        <f>767315.72</f>
        <v>767315.72</v>
      </c>
      <c r="H80" s="25">
        <f>0</f>
        <v>0</v>
      </c>
      <c r="I80" s="25">
        <f>0</f>
        <v>0</v>
      </c>
      <c r="J80" s="25">
        <f>767315.72</f>
        <v>767315.72</v>
      </c>
      <c r="K80" s="25">
        <f>0</f>
        <v>0</v>
      </c>
      <c r="L80" s="25">
        <f>667089.31</f>
        <v>667089.31000000006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4451653.23</f>
        <v>4451653.2300000004</v>
      </c>
      <c r="G81" s="25">
        <f>3951653.25</f>
        <v>3951653.25</v>
      </c>
      <c r="H81" s="25">
        <f>0</f>
        <v>0</v>
      </c>
      <c r="I81" s="25">
        <f>0</f>
        <v>0</v>
      </c>
      <c r="J81" s="25">
        <f>3951653.25</f>
        <v>3951653.25</v>
      </c>
      <c r="K81" s="25">
        <f>0</f>
        <v>0</v>
      </c>
      <c r="L81" s="25">
        <f>499999.98</f>
        <v>499999.98</v>
      </c>
    </row>
    <row r="82" spans="1:13" ht="33" customHeight="1" x14ac:dyDescent="0.2">
      <c r="B82" s="35" t="s">
        <v>61</v>
      </c>
      <c r="C82" s="36"/>
      <c r="D82" s="36"/>
      <c r="E82" s="37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 Kwartał 2025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16</f>
        <v>16</v>
      </c>
      <c r="H88" s="54"/>
      <c r="I88" s="38">
        <f>3966604570.63</f>
        <v>3966604570.6300001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0</f>
        <v>0</v>
      </c>
      <c r="H89" s="54"/>
      <c r="I89" s="38">
        <f>0</f>
        <v>0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1</f>
        <v>1</v>
      </c>
      <c r="C93" s="8" t="str">
        <f>IF(B93=1,"I Kwartał",IF(B93=2,"II Kwartały",IF(B93=3,"III Kwartały",IF(B93=4,"IV Kwartały","-"))))</f>
        <v>I Kwartał</v>
      </c>
    </row>
    <row r="94" spans="1:13" ht="13.5" customHeight="1" x14ac:dyDescent="0.2">
      <c r="A94" s="8" t="s">
        <v>9</v>
      </c>
      <c r="B94" s="8">
        <f>2025</f>
        <v>2025</v>
      </c>
      <c r="C94" s="9"/>
    </row>
    <row r="95" spans="1:13" ht="13.5" customHeight="1" x14ac:dyDescent="0.2">
      <c r="A95" s="8" t="s">
        <v>10</v>
      </c>
      <c r="B95" s="10" t="str">
        <f>"May 17 2025 12:00AM"</f>
        <v>May 17 2025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2025-05-21T12:00:34Z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2025-05-21T14:00:20.1716923+02:00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GRN-56de8046-cfce-4ed6-9a15-572c53931ffd</vt:lpwstr>
  </property>
  <property fmtid="{D5CDD505-2E9C-101B-9397-08002B2CF9AE}" pid="7" name="MFHash">
    <vt:lpwstr>pNIPBHEnzK7Vea11pl3uQ5swysQjj4Xvx/SbpVQiXSk=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