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I kwartał\2025.08.15 Dane ostateczne\Zbiorówki_2025_k2_2025.08.15\Publikacja\"/>
    </mc:Choice>
  </mc:AlternateContent>
  <xr:revisionPtr revIDLastSave="0" documentId="13_ncr:1_{A7A31520-0666-4849-9B3B-8F47E7EBE2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 l="1"/>
  <c r="A85" i="7" l="1"/>
  <c r="A66" i="7"/>
  <c r="A29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<sst xmlns="http://schemas.openxmlformats.org/spreadsheetml/2006/main" count="97" uniqueCount="81">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</sst>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23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3" fontId="2" fillId="0" borderId="15" xfId="37" applyNumberFormat="1" applyFont="1" applyFill="1" applyBorder="1" applyAlignment="1">
      <alignment horizontal="right" vertical="center" wrapText="1"/>
    </xf>
    <xf numFmtId="3" fontId="2" fillId="0" borderId="11" xfId="37" applyNumberFormat="1" applyFont="1" applyFill="1" applyBorder="1" applyAlignment="1">
      <alignment horizontal="right" vertical="center" wrapText="1"/>
    </xf>
    <xf numFmtId="4" fontId="2" fillId="0" borderId="15" xfId="37" applyNumberFormat="1" applyFont="1" applyFill="1" applyBorder="1" applyAlignment="1">
      <alignment horizontal="right" vertical="center" wrapText="1"/>
    </xf>
    <xf numFmtId="4" fontId="2" fillId="0" borderId="11" xfId="37" applyNumberFormat="1" applyFont="1" applyFill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" width="11.140625" style="2" customWidth="1"/>
    <col min="17" max="16384" width="9.140625" style="2"/>
  </cols>
  <sheetData>
    <row r="1" spans="1:17" ht="75" customHeight="1" x14ac:dyDescent="0.2">
      <c r="A1" s="37" t="str">
        <f>CONCATENATE("Informacja z wykonania budżetów województw za  ",$C$93," ",$B$94," roku    ",$B$96,"")</f>
        <v xml:space="preserve">Informacja z wykonania budżetów województw za  II Kwartały 2025 roku    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8" t="s">
        <v>62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5" spans="1:17" ht="13.5" customHeight="1" x14ac:dyDescent="0.2">
      <c r="B5" s="12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11"/>
      <c r="O5" s="11"/>
      <c r="P5" s="11"/>
      <c r="Q5" s="11"/>
    </row>
    <row r="6" spans="1:17" ht="13.5" customHeight="1" x14ac:dyDescent="0.2">
      <c r="A6" s="39" t="s">
        <v>0</v>
      </c>
      <c r="B6" s="42" t="s">
        <v>63</v>
      </c>
      <c r="C6" s="47" t="s">
        <v>67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9"/>
      <c r="O6" s="47" t="s">
        <v>66</v>
      </c>
      <c r="P6" s="48"/>
      <c r="Q6" s="49"/>
    </row>
    <row r="7" spans="1:17" ht="13.5" customHeight="1" x14ac:dyDescent="0.2">
      <c r="A7" s="40"/>
      <c r="B7" s="36"/>
      <c r="C7" s="35" t="s">
        <v>64</v>
      </c>
      <c r="D7" s="35" t="s">
        <v>75</v>
      </c>
      <c r="E7" s="35" t="s">
        <v>68</v>
      </c>
      <c r="F7" s="35" t="s">
        <v>69</v>
      </c>
      <c r="G7" s="35" t="s">
        <v>27</v>
      </c>
      <c r="H7" s="35" t="s">
        <v>28</v>
      </c>
      <c r="I7" s="50" t="s">
        <v>65</v>
      </c>
      <c r="J7" s="35" t="s">
        <v>16</v>
      </c>
      <c r="K7" s="35" t="s">
        <v>17</v>
      </c>
      <c r="L7" s="35" t="s">
        <v>18</v>
      </c>
      <c r="M7" s="35" t="s">
        <v>19</v>
      </c>
      <c r="N7" s="36" t="s">
        <v>20</v>
      </c>
      <c r="O7" s="31" t="s">
        <v>21</v>
      </c>
      <c r="P7" s="31" t="s">
        <v>22</v>
      </c>
      <c r="Q7" s="31" t="s">
        <v>23</v>
      </c>
    </row>
    <row r="8" spans="1:17" ht="13.5" customHeight="1" x14ac:dyDescent="0.2">
      <c r="A8" s="40"/>
      <c r="B8" s="36"/>
      <c r="C8" s="31"/>
      <c r="D8" s="31"/>
      <c r="E8" s="31"/>
      <c r="F8" s="31"/>
      <c r="G8" s="31"/>
      <c r="H8" s="31"/>
      <c r="I8" s="50"/>
      <c r="J8" s="31"/>
      <c r="K8" s="31"/>
      <c r="L8" s="31"/>
      <c r="M8" s="31"/>
      <c r="N8" s="36"/>
      <c r="O8" s="31"/>
      <c r="P8" s="31"/>
      <c r="Q8" s="31"/>
    </row>
    <row r="9" spans="1:17" ht="11.25" customHeight="1" x14ac:dyDescent="0.2">
      <c r="A9" s="40"/>
      <c r="B9" s="36"/>
      <c r="C9" s="31"/>
      <c r="D9" s="31"/>
      <c r="E9" s="31"/>
      <c r="F9" s="31"/>
      <c r="G9" s="31"/>
      <c r="H9" s="31"/>
      <c r="I9" s="50"/>
      <c r="J9" s="31"/>
      <c r="K9" s="31"/>
      <c r="L9" s="31"/>
      <c r="M9" s="31"/>
      <c r="N9" s="36"/>
      <c r="O9" s="31"/>
      <c r="P9" s="31"/>
      <c r="Q9" s="31"/>
    </row>
    <row r="10" spans="1:17" ht="27.75" customHeight="1" x14ac:dyDescent="0.2">
      <c r="A10" s="41"/>
      <c r="B10" s="35"/>
      <c r="C10" s="31"/>
      <c r="D10" s="31"/>
      <c r="E10" s="31"/>
      <c r="F10" s="31"/>
      <c r="G10" s="31"/>
      <c r="H10" s="31"/>
      <c r="I10" s="51"/>
      <c r="J10" s="31"/>
      <c r="K10" s="31"/>
      <c r="L10" s="31"/>
      <c r="M10" s="31"/>
      <c r="N10" s="35"/>
      <c r="O10" s="31"/>
      <c r="P10" s="31"/>
      <c r="Q10" s="31"/>
    </row>
    <row r="11" spans="1:17" ht="1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3.5" customHeight="1" x14ac:dyDescent="0.2">
      <c r="A12" s="13"/>
      <c r="B12" s="43" t="s">
        <v>78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1:17" ht="43.5" customHeight="1" x14ac:dyDescent="0.2">
      <c r="A13" s="19" t="s">
        <v>79</v>
      </c>
      <c r="B13" s="20">
        <f>4165920787.76</f>
        <v>4165920787.7600002</v>
      </c>
      <c r="C13" s="20">
        <f>2611212655.68</f>
        <v>2611212655.6799998</v>
      </c>
      <c r="D13" s="20">
        <f>146856960.89</f>
        <v>146856960.88999999</v>
      </c>
      <c r="E13" s="20">
        <f>146000004.33</f>
        <v>146000004.33000001</v>
      </c>
      <c r="F13" s="20">
        <f>0</f>
        <v>0</v>
      </c>
      <c r="G13" s="20">
        <f>856956.56</f>
        <v>856956.56</v>
      </c>
      <c r="H13" s="20">
        <f>0</f>
        <v>0</v>
      </c>
      <c r="I13" s="20">
        <f>0</f>
        <v>0</v>
      </c>
      <c r="J13" s="20">
        <f>2333844462.56</f>
        <v>2333844462.5599999</v>
      </c>
      <c r="K13" s="20">
        <f>0</f>
        <v>0</v>
      </c>
      <c r="L13" s="20">
        <f>130101063.55</f>
        <v>130101063.55</v>
      </c>
      <c r="M13" s="20">
        <f>409868.68</f>
        <v>409868.68</v>
      </c>
      <c r="N13" s="20">
        <f>300</f>
        <v>300</v>
      </c>
      <c r="O13" s="20">
        <f>1554708132.08</f>
        <v>1554708132.0799999</v>
      </c>
      <c r="P13" s="20">
        <f>1554708132.08</f>
        <v>1554708132.0799999</v>
      </c>
      <c r="Q13" s="20">
        <f>0</f>
        <v>0</v>
      </c>
    </row>
    <row r="14" spans="1:17" ht="28.5" customHeight="1" x14ac:dyDescent="0.2">
      <c r="A14" s="19" t="s">
        <v>45</v>
      </c>
      <c r="B14" s="20">
        <f>585950000</f>
        <v>585950000</v>
      </c>
      <c r="C14" s="20">
        <f>585950000</f>
        <v>585950000</v>
      </c>
      <c r="D14" s="20">
        <f>0</f>
        <v>0</v>
      </c>
      <c r="E14" s="20">
        <f>0</f>
        <v>0</v>
      </c>
      <c r="F14" s="20">
        <f>0</f>
        <v>0</v>
      </c>
      <c r="G14" s="20">
        <f>0</f>
        <v>0</v>
      </c>
      <c r="H14" s="20">
        <f>0</f>
        <v>0</v>
      </c>
      <c r="I14" s="20">
        <f>0</f>
        <v>0</v>
      </c>
      <c r="J14" s="20">
        <f>585950000</f>
        <v>585950000</v>
      </c>
      <c r="K14" s="20">
        <f>0</f>
        <v>0</v>
      </c>
      <c r="L14" s="20">
        <f>0</f>
        <v>0</v>
      </c>
      <c r="M14" s="20">
        <f>0</f>
        <v>0</v>
      </c>
      <c r="N14" s="20">
        <f>0</f>
        <v>0</v>
      </c>
      <c r="O14" s="20">
        <f>0</f>
        <v>0</v>
      </c>
      <c r="P14" s="20">
        <f>0</f>
        <v>0</v>
      </c>
      <c r="Q14" s="20">
        <f>0</f>
        <v>0</v>
      </c>
    </row>
    <row r="15" spans="1:17" ht="22.5" customHeight="1" x14ac:dyDescent="0.2">
      <c r="A15" s="17" t="s">
        <v>46</v>
      </c>
      <c r="B15" s="21">
        <f>0</f>
        <v>0</v>
      </c>
      <c r="C15" s="21">
        <f>0</f>
        <v>0</v>
      </c>
      <c r="D15" s="21">
        <f>0</f>
        <v>0</v>
      </c>
      <c r="E15" s="21">
        <f>0</f>
        <v>0</v>
      </c>
      <c r="F15" s="21">
        <f>0</f>
        <v>0</v>
      </c>
      <c r="G15" s="21">
        <f>0</f>
        <v>0</v>
      </c>
      <c r="H15" s="21">
        <f>0</f>
        <v>0</v>
      </c>
      <c r="I15" s="21">
        <f>0</f>
        <v>0</v>
      </c>
      <c r="J15" s="21">
        <f>0</f>
        <v>0</v>
      </c>
      <c r="K15" s="21">
        <f>0</f>
        <v>0</v>
      </c>
      <c r="L15" s="21">
        <f>0</f>
        <v>0</v>
      </c>
      <c r="M15" s="21">
        <f>0</f>
        <v>0</v>
      </c>
      <c r="N15" s="21">
        <f>0</f>
        <v>0</v>
      </c>
      <c r="O15" s="21">
        <f>0</f>
        <v>0</v>
      </c>
      <c r="P15" s="21">
        <f>0</f>
        <v>0</v>
      </c>
      <c r="Q15" s="21">
        <f>0</f>
        <v>0</v>
      </c>
    </row>
    <row r="16" spans="1:17" ht="22.5" customHeight="1" x14ac:dyDescent="0.2">
      <c r="A16" s="17" t="s">
        <v>47</v>
      </c>
      <c r="B16" s="21">
        <f>585950000</f>
        <v>585950000</v>
      </c>
      <c r="C16" s="21">
        <f>585950000</f>
        <v>585950000</v>
      </c>
      <c r="D16" s="21">
        <f>0</f>
        <v>0</v>
      </c>
      <c r="E16" s="21">
        <f>0</f>
        <v>0</v>
      </c>
      <c r="F16" s="21">
        <f>0</f>
        <v>0</v>
      </c>
      <c r="G16" s="21">
        <f>0</f>
        <v>0</v>
      </c>
      <c r="H16" s="21">
        <f>0</f>
        <v>0</v>
      </c>
      <c r="I16" s="21">
        <f>0</f>
        <v>0</v>
      </c>
      <c r="J16" s="21">
        <f>585950000</f>
        <v>585950000</v>
      </c>
      <c r="K16" s="21">
        <f>0</f>
        <v>0</v>
      </c>
      <c r="L16" s="21">
        <f>0</f>
        <v>0</v>
      </c>
      <c r="M16" s="21">
        <f>0</f>
        <v>0</v>
      </c>
      <c r="N16" s="21">
        <f>0</f>
        <v>0</v>
      </c>
      <c r="O16" s="21">
        <f>0</f>
        <v>0</v>
      </c>
      <c r="P16" s="21">
        <f>0</f>
        <v>0</v>
      </c>
      <c r="Q16" s="21">
        <f>0</f>
        <v>0</v>
      </c>
    </row>
    <row r="17" spans="1:17" ht="36" customHeight="1" x14ac:dyDescent="0.2">
      <c r="A17" s="19" t="s">
        <v>48</v>
      </c>
      <c r="B17" s="20">
        <f>3579402807.2</f>
        <v>3579402807.1999998</v>
      </c>
      <c r="C17" s="20">
        <f>2024694675.12</f>
        <v>2024694675.1199999</v>
      </c>
      <c r="D17" s="20">
        <f>146838428.56</f>
        <v>146838428.56</v>
      </c>
      <c r="E17" s="20">
        <f>146000000</f>
        <v>146000000</v>
      </c>
      <c r="F17" s="20">
        <f>0</f>
        <v>0</v>
      </c>
      <c r="G17" s="20">
        <f>838428.56</f>
        <v>838428.56</v>
      </c>
      <c r="H17" s="20">
        <f>0</f>
        <v>0</v>
      </c>
      <c r="I17" s="20">
        <f>0</f>
        <v>0</v>
      </c>
      <c r="J17" s="20">
        <f>1747894462.56</f>
        <v>1747894462.5599999</v>
      </c>
      <c r="K17" s="20">
        <f>0</f>
        <v>0</v>
      </c>
      <c r="L17" s="20">
        <f>129961784</f>
        <v>129961784</v>
      </c>
      <c r="M17" s="20">
        <f>0</f>
        <v>0</v>
      </c>
      <c r="N17" s="20">
        <f>0</f>
        <v>0</v>
      </c>
      <c r="O17" s="20">
        <f>1554708132.08</f>
        <v>1554708132.0799999</v>
      </c>
      <c r="P17" s="20">
        <f>1554708132.08</f>
        <v>1554708132.0799999</v>
      </c>
      <c r="Q17" s="20">
        <f>0</f>
        <v>0</v>
      </c>
    </row>
    <row r="18" spans="1:17" ht="22.5" customHeight="1" x14ac:dyDescent="0.2">
      <c r="A18" s="17" t="s">
        <v>49</v>
      </c>
      <c r="B18" s="21">
        <f>0</f>
        <v>0</v>
      </c>
      <c r="C18" s="21">
        <f>0</f>
        <v>0</v>
      </c>
      <c r="D18" s="21">
        <f>0</f>
        <v>0</v>
      </c>
      <c r="E18" s="21">
        <f>0</f>
        <v>0</v>
      </c>
      <c r="F18" s="21">
        <f>0</f>
        <v>0</v>
      </c>
      <c r="G18" s="21">
        <f>0</f>
        <v>0</v>
      </c>
      <c r="H18" s="21">
        <f>0</f>
        <v>0</v>
      </c>
      <c r="I18" s="21">
        <f>0</f>
        <v>0</v>
      </c>
      <c r="J18" s="21">
        <f>0</f>
        <v>0</v>
      </c>
      <c r="K18" s="21">
        <f>0</f>
        <v>0</v>
      </c>
      <c r="L18" s="21">
        <f>0</f>
        <v>0</v>
      </c>
      <c r="M18" s="21">
        <f>0</f>
        <v>0</v>
      </c>
      <c r="N18" s="21">
        <f>0</f>
        <v>0</v>
      </c>
      <c r="O18" s="21">
        <f>0</f>
        <v>0</v>
      </c>
      <c r="P18" s="21">
        <f>0</f>
        <v>0</v>
      </c>
      <c r="Q18" s="21">
        <f>0</f>
        <v>0</v>
      </c>
    </row>
    <row r="19" spans="1:17" ht="22.5" customHeight="1" x14ac:dyDescent="0.2">
      <c r="A19" s="17" t="s">
        <v>50</v>
      </c>
      <c r="B19" s="21">
        <f>3579402807.2</f>
        <v>3579402807.1999998</v>
      </c>
      <c r="C19" s="21">
        <f>2024694675.12</f>
        <v>2024694675.1199999</v>
      </c>
      <c r="D19" s="21">
        <f>146838428.56</f>
        <v>146838428.56</v>
      </c>
      <c r="E19" s="21">
        <f>146000000</f>
        <v>146000000</v>
      </c>
      <c r="F19" s="21">
        <f>0</f>
        <v>0</v>
      </c>
      <c r="G19" s="21">
        <f>838428.56</f>
        <v>838428.56</v>
      </c>
      <c r="H19" s="21">
        <f>0</f>
        <v>0</v>
      </c>
      <c r="I19" s="21">
        <f>0</f>
        <v>0</v>
      </c>
      <c r="J19" s="21">
        <f>1747894462.56</f>
        <v>1747894462.5599999</v>
      </c>
      <c r="K19" s="21">
        <f>0</f>
        <v>0</v>
      </c>
      <c r="L19" s="21">
        <f>129961784</f>
        <v>129961784</v>
      </c>
      <c r="M19" s="21">
        <f>0</f>
        <v>0</v>
      </c>
      <c r="N19" s="21">
        <f>0</f>
        <v>0</v>
      </c>
      <c r="O19" s="21">
        <f>1554708132.08</f>
        <v>1554708132.0799999</v>
      </c>
      <c r="P19" s="21">
        <f>1554708132.08</f>
        <v>1554708132.0799999</v>
      </c>
      <c r="Q19" s="21">
        <f>0</f>
        <v>0</v>
      </c>
    </row>
    <row r="20" spans="1:17" ht="36" customHeight="1" x14ac:dyDescent="0.2">
      <c r="A20" s="19" t="s">
        <v>51</v>
      </c>
      <c r="B20" s="20">
        <f>0</f>
        <v>0</v>
      </c>
      <c r="C20" s="20">
        <f>0</f>
        <v>0</v>
      </c>
      <c r="D20" s="20">
        <f>0</f>
        <v>0</v>
      </c>
      <c r="E20" s="20">
        <f>0</f>
        <v>0</v>
      </c>
      <c r="F20" s="20">
        <f>0</f>
        <v>0</v>
      </c>
      <c r="G20" s="20">
        <f>0</f>
        <v>0</v>
      </c>
      <c r="H20" s="20">
        <f>0</f>
        <v>0</v>
      </c>
      <c r="I20" s="20">
        <f>0</f>
        <v>0</v>
      </c>
      <c r="J20" s="20">
        <f>0</f>
        <v>0</v>
      </c>
      <c r="K20" s="20">
        <f>0</f>
        <v>0</v>
      </c>
      <c r="L20" s="20">
        <f>0</f>
        <v>0</v>
      </c>
      <c r="M20" s="20">
        <f>0</f>
        <v>0</v>
      </c>
      <c r="N20" s="20">
        <f>0</f>
        <v>0</v>
      </c>
      <c r="O20" s="20">
        <f>0</f>
        <v>0</v>
      </c>
      <c r="P20" s="20">
        <f>0</f>
        <v>0</v>
      </c>
      <c r="Q20" s="20">
        <f>0</f>
        <v>0</v>
      </c>
    </row>
    <row r="21" spans="1:17" ht="36" customHeight="1" x14ac:dyDescent="0.2">
      <c r="A21" s="19" t="s">
        <v>52</v>
      </c>
      <c r="B21" s="20">
        <f>567980.56</f>
        <v>567980.56000000006</v>
      </c>
      <c r="C21" s="20">
        <f>567980.56</f>
        <v>567980.56000000006</v>
      </c>
      <c r="D21" s="20">
        <f>18532.33</f>
        <v>18532.330000000002</v>
      </c>
      <c r="E21" s="20">
        <f>4.33</f>
        <v>4.33</v>
      </c>
      <c r="F21" s="20">
        <f>0</f>
        <v>0</v>
      </c>
      <c r="G21" s="20">
        <f>18528</f>
        <v>18528</v>
      </c>
      <c r="H21" s="20">
        <f>0</f>
        <v>0</v>
      </c>
      <c r="I21" s="20">
        <f>0</f>
        <v>0</v>
      </c>
      <c r="J21" s="20">
        <f>0</f>
        <v>0</v>
      </c>
      <c r="K21" s="20">
        <f>0</f>
        <v>0</v>
      </c>
      <c r="L21" s="20">
        <f>139279.55</f>
        <v>139279.54999999999</v>
      </c>
      <c r="M21" s="20">
        <f>409868.68</f>
        <v>409868.68</v>
      </c>
      <c r="N21" s="20">
        <f>300</f>
        <v>300</v>
      </c>
      <c r="O21" s="20">
        <f>0</f>
        <v>0</v>
      </c>
      <c r="P21" s="20">
        <f>0</f>
        <v>0</v>
      </c>
      <c r="Q21" s="20">
        <f>0</f>
        <v>0</v>
      </c>
    </row>
    <row r="22" spans="1:17" ht="30" customHeight="1" x14ac:dyDescent="0.2">
      <c r="A22" s="17" t="s">
        <v>53</v>
      </c>
      <c r="B22" s="21">
        <f>201206.53</f>
        <v>201206.53</v>
      </c>
      <c r="C22" s="21">
        <f>201206.53</f>
        <v>201206.53</v>
      </c>
      <c r="D22" s="21">
        <f>18528</f>
        <v>18528</v>
      </c>
      <c r="E22" s="21">
        <f>0</f>
        <v>0</v>
      </c>
      <c r="F22" s="21">
        <f>0</f>
        <v>0</v>
      </c>
      <c r="G22" s="21">
        <f>18528</f>
        <v>18528</v>
      </c>
      <c r="H22" s="21">
        <f>0</f>
        <v>0</v>
      </c>
      <c r="I22" s="21">
        <f>0</f>
        <v>0</v>
      </c>
      <c r="J22" s="21">
        <f>0</f>
        <v>0</v>
      </c>
      <c r="K22" s="21">
        <f>0</f>
        <v>0</v>
      </c>
      <c r="L22" s="21">
        <f>128370.68</f>
        <v>128370.68</v>
      </c>
      <c r="M22" s="21">
        <f>54007.85</f>
        <v>54007.85</v>
      </c>
      <c r="N22" s="21">
        <f>300</f>
        <v>300</v>
      </c>
      <c r="O22" s="21">
        <f>0</f>
        <v>0</v>
      </c>
      <c r="P22" s="21">
        <f>0</f>
        <v>0</v>
      </c>
      <c r="Q22" s="21">
        <f>0</f>
        <v>0</v>
      </c>
    </row>
    <row r="23" spans="1:17" ht="28.5" customHeight="1" x14ac:dyDescent="0.2">
      <c r="A23" s="17" t="s">
        <v>54</v>
      </c>
      <c r="B23" s="21">
        <f>366774.03</f>
        <v>366774.03</v>
      </c>
      <c r="C23" s="21">
        <f>366774.03</f>
        <v>366774.03</v>
      </c>
      <c r="D23" s="21">
        <f>4.33</f>
        <v>4.33</v>
      </c>
      <c r="E23" s="21">
        <f>4.33</f>
        <v>4.33</v>
      </c>
      <c r="F23" s="21">
        <f>0</f>
        <v>0</v>
      </c>
      <c r="G23" s="21">
        <f>0</f>
        <v>0</v>
      </c>
      <c r="H23" s="21">
        <f>0</f>
        <v>0</v>
      </c>
      <c r="I23" s="21">
        <f>0</f>
        <v>0</v>
      </c>
      <c r="J23" s="21">
        <f>0</f>
        <v>0</v>
      </c>
      <c r="K23" s="21">
        <f>0</f>
        <v>0</v>
      </c>
      <c r="L23" s="21">
        <f>10908.87</f>
        <v>10908.87</v>
      </c>
      <c r="M23" s="21">
        <f>355860.83</f>
        <v>355860.83</v>
      </c>
      <c r="N23" s="21">
        <f>0</f>
        <v>0</v>
      </c>
      <c r="O23" s="21">
        <f>0</f>
        <v>0</v>
      </c>
      <c r="P23" s="21">
        <f>0</f>
        <v>0</v>
      </c>
      <c r="Q23" s="21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9.5" customHeight="1" x14ac:dyDescent="0.2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9.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45.75" customHeight="1" x14ac:dyDescent="0.2">
      <c r="A29" s="37" t="str">
        <f>CONCATENATE("Informacja z wykonania budżetów województw za  ",$C$93," ",$B$94," roku    ",$B$96,"")</f>
        <v xml:space="preserve">Informacja z wykonania budżetów województw za  II Kwartały 2025 roku    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</row>
    <row r="31" spans="1:17" ht="13.5" customHeight="1" x14ac:dyDescent="0.2">
      <c r="A31" s="38" t="s">
        <v>11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3" spans="1:17" ht="13.5" customHeight="1" x14ac:dyDescent="0.2">
      <c r="A33" s="39" t="s">
        <v>0</v>
      </c>
      <c r="B33" s="42" t="s">
        <v>12</v>
      </c>
      <c r="C33" s="32" t="s">
        <v>14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4"/>
      <c r="O33" s="32" t="s">
        <v>24</v>
      </c>
      <c r="P33" s="33"/>
      <c r="Q33" s="34"/>
    </row>
    <row r="34" spans="1:17" ht="13.5" customHeight="1" x14ac:dyDescent="0.2">
      <c r="A34" s="40"/>
      <c r="B34" s="36"/>
      <c r="C34" s="36" t="s">
        <v>13</v>
      </c>
      <c r="D34" s="31" t="s">
        <v>15</v>
      </c>
      <c r="E34" s="31" t="s">
        <v>25</v>
      </c>
      <c r="F34" s="31" t="s">
        <v>26</v>
      </c>
      <c r="G34" s="31" t="s">
        <v>72</v>
      </c>
      <c r="H34" s="31" t="s">
        <v>28</v>
      </c>
      <c r="I34" s="31" t="s">
        <v>1</v>
      </c>
      <c r="J34" s="31" t="s">
        <v>16</v>
      </c>
      <c r="K34" s="31" t="s">
        <v>17</v>
      </c>
      <c r="L34" s="31" t="s">
        <v>18</v>
      </c>
      <c r="M34" s="31" t="s">
        <v>19</v>
      </c>
      <c r="N34" s="74" t="s">
        <v>20</v>
      </c>
      <c r="O34" s="31" t="s">
        <v>21</v>
      </c>
      <c r="P34" s="31" t="s">
        <v>22</v>
      </c>
      <c r="Q34" s="42" t="s">
        <v>23</v>
      </c>
    </row>
    <row r="35" spans="1:17" ht="13.5" customHeight="1" x14ac:dyDescent="0.2">
      <c r="A35" s="40"/>
      <c r="B35" s="36"/>
      <c r="C35" s="36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4"/>
      <c r="O35" s="31"/>
      <c r="P35" s="31"/>
      <c r="Q35" s="36"/>
    </row>
    <row r="36" spans="1:17" ht="11.25" customHeight="1" x14ac:dyDescent="0.2">
      <c r="A36" s="40"/>
      <c r="B36" s="36"/>
      <c r="C36" s="36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4"/>
      <c r="O36" s="31"/>
      <c r="P36" s="31"/>
      <c r="Q36" s="36"/>
    </row>
    <row r="37" spans="1:17" ht="11.25" customHeight="1" x14ac:dyDescent="0.2">
      <c r="A37" s="41"/>
      <c r="B37" s="35"/>
      <c r="C37" s="35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4"/>
      <c r="O37" s="31"/>
      <c r="P37" s="31"/>
      <c r="Q37" s="35"/>
    </row>
    <row r="38" spans="1:17" ht="11.25" customHeight="1" x14ac:dyDescent="0.2">
      <c r="A38" s="13">
        <v>1</v>
      </c>
      <c r="B38" s="13">
        <v>2</v>
      </c>
      <c r="C38" s="13">
        <v>3</v>
      </c>
      <c r="D38" s="13">
        <v>4</v>
      </c>
      <c r="E38" s="13">
        <v>5</v>
      </c>
      <c r="F38" s="13">
        <v>6</v>
      </c>
      <c r="G38" s="13">
        <v>7</v>
      </c>
      <c r="H38" s="13">
        <v>8</v>
      </c>
      <c r="I38" s="13">
        <v>9</v>
      </c>
      <c r="J38" s="13">
        <v>10</v>
      </c>
      <c r="K38" s="13">
        <v>11</v>
      </c>
      <c r="L38" s="13">
        <v>12</v>
      </c>
      <c r="M38" s="13">
        <v>13</v>
      </c>
      <c r="N38" s="13">
        <v>14</v>
      </c>
      <c r="O38" s="13">
        <v>15</v>
      </c>
      <c r="P38" s="13">
        <v>16</v>
      </c>
      <c r="Q38" s="13">
        <v>17</v>
      </c>
    </row>
    <row r="39" spans="1:17" ht="13.5" customHeight="1" x14ac:dyDescent="0.2">
      <c r="A39" s="13"/>
      <c r="B39" s="43" t="s">
        <v>78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5"/>
    </row>
    <row r="40" spans="1:17" ht="30.75" customHeight="1" x14ac:dyDescent="0.2">
      <c r="A40" s="24" t="s">
        <v>40</v>
      </c>
      <c r="B40" s="22">
        <f>0</f>
        <v>0</v>
      </c>
      <c r="C40" s="22">
        <f>0</f>
        <v>0</v>
      </c>
      <c r="D40" s="22">
        <f>0</f>
        <v>0</v>
      </c>
      <c r="E40" s="22">
        <f>0</f>
        <v>0</v>
      </c>
      <c r="F40" s="22">
        <f>0</f>
        <v>0</v>
      </c>
      <c r="G40" s="22">
        <f>0</f>
        <v>0</v>
      </c>
      <c r="H40" s="22">
        <f>0</f>
        <v>0</v>
      </c>
      <c r="I40" s="22">
        <f>0</f>
        <v>0</v>
      </c>
      <c r="J40" s="22">
        <f>0</f>
        <v>0</v>
      </c>
      <c r="K40" s="22">
        <f>0</f>
        <v>0</v>
      </c>
      <c r="L40" s="22">
        <f>0</f>
        <v>0</v>
      </c>
      <c r="M40" s="22">
        <f>0</f>
        <v>0</v>
      </c>
      <c r="N40" s="22">
        <f>0</f>
        <v>0</v>
      </c>
      <c r="O40" s="22">
        <f>0</f>
        <v>0</v>
      </c>
      <c r="P40" s="22">
        <f>0</f>
        <v>0</v>
      </c>
      <c r="Q40" s="22">
        <f>0</f>
        <v>0</v>
      </c>
    </row>
    <row r="41" spans="1:17" ht="24" customHeight="1" x14ac:dyDescent="0.2">
      <c r="A41" s="18" t="s">
        <v>29</v>
      </c>
      <c r="B41" s="23">
        <f>0</f>
        <v>0</v>
      </c>
      <c r="C41" s="23">
        <f>0</f>
        <v>0</v>
      </c>
      <c r="D41" s="23">
        <f>0</f>
        <v>0</v>
      </c>
      <c r="E41" s="23">
        <f>0</f>
        <v>0</v>
      </c>
      <c r="F41" s="23">
        <f>0</f>
        <v>0</v>
      </c>
      <c r="G41" s="23">
        <f>0</f>
        <v>0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0</f>
        <v>0</v>
      </c>
      <c r="M41" s="23">
        <f>0</f>
        <v>0</v>
      </c>
      <c r="N41" s="23">
        <f>0</f>
        <v>0</v>
      </c>
      <c r="O41" s="23">
        <f>0</f>
        <v>0</v>
      </c>
      <c r="P41" s="23">
        <f>0</f>
        <v>0</v>
      </c>
      <c r="Q41" s="23">
        <f>0</f>
        <v>0</v>
      </c>
    </row>
    <row r="42" spans="1:17" ht="24" customHeight="1" x14ac:dyDescent="0.2">
      <c r="A42" s="18" t="s">
        <v>30</v>
      </c>
      <c r="B42" s="23">
        <f>0</f>
        <v>0</v>
      </c>
      <c r="C42" s="23">
        <f>0</f>
        <v>0</v>
      </c>
      <c r="D42" s="23">
        <f>0</f>
        <v>0</v>
      </c>
      <c r="E42" s="23">
        <f>0</f>
        <v>0</v>
      </c>
      <c r="F42" s="23">
        <f>0</f>
        <v>0</v>
      </c>
      <c r="G42" s="23">
        <f>0</f>
        <v>0</v>
      </c>
      <c r="H42" s="23">
        <f>0</f>
        <v>0</v>
      </c>
      <c r="I42" s="23">
        <f>0</f>
        <v>0</v>
      </c>
      <c r="J42" s="23">
        <f>0</f>
        <v>0</v>
      </c>
      <c r="K42" s="23">
        <f>0</f>
        <v>0</v>
      </c>
      <c r="L42" s="23">
        <f>0</f>
        <v>0</v>
      </c>
      <c r="M42" s="23">
        <f>0</f>
        <v>0</v>
      </c>
      <c r="N42" s="23">
        <f>0</f>
        <v>0</v>
      </c>
      <c r="O42" s="23">
        <f>0</f>
        <v>0</v>
      </c>
      <c r="P42" s="23">
        <f>0</f>
        <v>0</v>
      </c>
      <c r="Q42" s="23">
        <f>0</f>
        <v>0</v>
      </c>
    </row>
    <row r="43" spans="1:17" ht="30.75" customHeight="1" x14ac:dyDescent="0.2">
      <c r="A43" s="24" t="s">
        <v>41</v>
      </c>
      <c r="B43" s="22">
        <f>737146000.71</f>
        <v>737146000.71000004</v>
      </c>
      <c r="C43" s="22">
        <f>737146000.71</f>
        <v>737146000.71000004</v>
      </c>
      <c r="D43" s="22">
        <f>655626332.61</f>
        <v>655626332.61000001</v>
      </c>
      <c r="E43" s="22">
        <f>70087.89</f>
        <v>70087.89</v>
      </c>
      <c r="F43" s="22">
        <f>13099.8</f>
        <v>13099.8</v>
      </c>
      <c r="G43" s="22">
        <f>655543144.92</f>
        <v>655543144.91999996</v>
      </c>
      <c r="H43" s="22">
        <f>0</f>
        <v>0</v>
      </c>
      <c r="I43" s="22">
        <f>0</f>
        <v>0</v>
      </c>
      <c r="J43" s="22">
        <f>0</f>
        <v>0</v>
      </c>
      <c r="K43" s="22">
        <f>0</f>
        <v>0</v>
      </c>
      <c r="L43" s="22">
        <f>76381920.08</f>
        <v>76381920.079999998</v>
      </c>
      <c r="M43" s="22">
        <f>4024991.98</f>
        <v>4024991.98</v>
      </c>
      <c r="N43" s="22">
        <f>1112756.04</f>
        <v>1112756.04</v>
      </c>
      <c r="O43" s="22">
        <f>0</f>
        <v>0</v>
      </c>
      <c r="P43" s="22">
        <f>0</f>
        <v>0</v>
      </c>
      <c r="Q43" s="22">
        <f>0</f>
        <v>0</v>
      </c>
    </row>
    <row r="44" spans="1:17" ht="24" customHeight="1" x14ac:dyDescent="0.2">
      <c r="A44" s="18" t="s">
        <v>31</v>
      </c>
      <c r="B44" s="23">
        <f>25379752.91</f>
        <v>25379752.91</v>
      </c>
      <c r="C44" s="23">
        <f>25379752.91</f>
        <v>25379752.91</v>
      </c>
      <c r="D44" s="23">
        <f>25296731.29</f>
        <v>25296731.289999999</v>
      </c>
      <c r="E44" s="23">
        <f>0</f>
        <v>0</v>
      </c>
      <c r="F44" s="23">
        <f>0</f>
        <v>0</v>
      </c>
      <c r="G44" s="23">
        <f>25296731.29</f>
        <v>25296731.289999999</v>
      </c>
      <c r="H44" s="23">
        <f>0</f>
        <v>0</v>
      </c>
      <c r="I44" s="23">
        <f>0</f>
        <v>0</v>
      </c>
      <c r="J44" s="23">
        <f>0</f>
        <v>0</v>
      </c>
      <c r="K44" s="23">
        <f>0</f>
        <v>0</v>
      </c>
      <c r="L44" s="23">
        <f>83021.62</f>
        <v>83021.62</v>
      </c>
      <c r="M44" s="23">
        <f>0</f>
        <v>0</v>
      </c>
      <c r="N44" s="23">
        <f>0</f>
        <v>0</v>
      </c>
      <c r="O44" s="23">
        <f>0</f>
        <v>0</v>
      </c>
      <c r="P44" s="23">
        <f>0</f>
        <v>0</v>
      </c>
      <c r="Q44" s="23">
        <f>0</f>
        <v>0</v>
      </c>
    </row>
    <row r="45" spans="1:17" ht="24" customHeight="1" x14ac:dyDescent="0.2">
      <c r="A45" s="18" t="s">
        <v>32</v>
      </c>
      <c r="B45" s="23">
        <f>711766247.8</f>
        <v>711766247.79999995</v>
      </c>
      <c r="C45" s="23">
        <f>711766247.8</f>
        <v>711766247.79999995</v>
      </c>
      <c r="D45" s="23">
        <f>630329601.32</f>
        <v>630329601.32000005</v>
      </c>
      <c r="E45" s="23">
        <f>70087.89</f>
        <v>70087.89</v>
      </c>
      <c r="F45" s="23">
        <f>13099.8</f>
        <v>13099.8</v>
      </c>
      <c r="G45" s="23">
        <f>630246413.63</f>
        <v>630246413.63</v>
      </c>
      <c r="H45" s="23">
        <f>0</f>
        <v>0</v>
      </c>
      <c r="I45" s="23">
        <f>0</f>
        <v>0</v>
      </c>
      <c r="J45" s="23">
        <f>0</f>
        <v>0</v>
      </c>
      <c r="K45" s="23">
        <f>0</f>
        <v>0</v>
      </c>
      <c r="L45" s="23">
        <f>76298898.46</f>
        <v>76298898.459999993</v>
      </c>
      <c r="M45" s="23">
        <f>4024991.98</f>
        <v>4024991.98</v>
      </c>
      <c r="N45" s="23">
        <f>1112756.04</f>
        <v>1112756.04</v>
      </c>
      <c r="O45" s="23">
        <f>0</f>
        <v>0</v>
      </c>
      <c r="P45" s="23">
        <f>0</f>
        <v>0</v>
      </c>
      <c r="Q45" s="23">
        <f>0</f>
        <v>0</v>
      </c>
    </row>
    <row r="46" spans="1:17" ht="30.75" customHeight="1" x14ac:dyDescent="0.2">
      <c r="A46" s="24" t="s">
        <v>42</v>
      </c>
      <c r="B46" s="22">
        <f>12501212834</f>
        <v>12501212834</v>
      </c>
      <c r="C46" s="22">
        <f>12500949514.96</f>
        <v>12500949514.959999</v>
      </c>
      <c r="D46" s="22">
        <f>395833.91</f>
        <v>395833.91</v>
      </c>
      <c r="E46" s="22">
        <f>600</f>
        <v>600</v>
      </c>
      <c r="F46" s="22">
        <f>16265.52</f>
        <v>16265.52</v>
      </c>
      <c r="G46" s="22">
        <f>378968.39</f>
        <v>378968.39</v>
      </c>
      <c r="H46" s="22">
        <f>0</f>
        <v>0</v>
      </c>
      <c r="I46" s="22">
        <f>0</f>
        <v>0</v>
      </c>
      <c r="J46" s="22">
        <f>12494383051.69</f>
        <v>12494383051.690001</v>
      </c>
      <c r="K46" s="22">
        <f>0</f>
        <v>0</v>
      </c>
      <c r="L46" s="22">
        <f>6161565.73</f>
        <v>6161565.7300000004</v>
      </c>
      <c r="M46" s="22">
        <f>9063.63</f>
        <v>9063.6299999999992</v>
      </c>
      <c r="N46" s="22">
        <f>0</f>
        <v>0</v>
      </c>
      <c r="O46" s="22">
        <f>263319.04</f>
        <v>263319.03999999998</v>
      </c>
      <c r="P46" s="22">
        <f>263319.04</f>
        <v>263319.03999999998</v>
      </c>
      <c r="Q46" s="22">
        <f>0</f>
        <v>0</v>
      </c>
    </row>
    <row r="47" spans="1:17" ht="24" customHeight="1" x14ac:dyDescent="0.2">
      <c r="A47" s="18" t="s">
        <v>33</v>
      </c>
      <c r="B47" s="23">
        <f>378968.39</f>
        <v>378968.39</v>
      </c>
      <c r="C47" s="23">
        <f>378968.39</f>
        <v>378968.39</v>
      </c>
      <c r="D47" s="23">
        <f>378968.39</f>
        <v>378968.39</v>
      </c>
      <c r="E47" s="23">
        <f>0</f>
        <v>0</v>
      </c>
      <c r="F47" s="23">
        <f>0</f>
        <v>0</v>
      </c>
      <c r="G47" s="23">
        <f>378968.39</f>
        <v>378968.39</v>
      </c>
      <c r="H47" s="23">
        <f>0</f>
        <v>0</v>
      </c>
      <c r="I47" s="23">
        <f>0</f>
        <v>0</v>
      </c>
      <c r="J47" s="23">
        <f>0</f>
        <v>0</v>
      </c>
      <c r="K47" s="23">
        <f>0</f>
        <v>0</v>
      </c>
      <c r="L47" s="23">
        <f>0</f>
        <v>0</v>
      </c>
      <c r="M47" s="23">
        <f>0</f>
        <v>0</v>
      </c>
      <c r="N47" s="23">
        <f>0</f>
        <v>0</v>
      </c>
      <c r="O47" s="23">
        <f>0</f>
        <v>0</v>
      </c>
      <c r="P47" s="23">
        <f>0</f>
        <v>0</v>
      </c>
      <c r="Q47" s="23">
        <f>0</f>
        <v>0</v>
      </c>
    </row>
    <row r="48" spans="1:17" ht="24" customHeight="1" x14ac:dyDescent="0.2">
      <c r="A48" s="18" t="s">
        <v>34</v>
      </c>
      <c r="B48" s="23">
        <f>8340509551.86</f>
        <v>8340509551.8599997</v>
      </c>
      <c r="C48" s="23">
        <f>8340509551.86</f>
        <v>8340509551.8599997</v>
      </c>
      <c r="D48" s="23">
        <f>600</f>
        <v>600</v>
      </c>
      <c r="E48" s="23">
        <f>600</f>
        <v>600</v>
      </c>
      <c r="F48" s="23">
        <f>0</f>
        <v>0</v>
      </c>
      <c r="G48" s="23">
        <f>0</f>
        <v>0</v>
      </c>
      <c r="H48" s="23">
        <f>0</f>
        <v>0</v>
      </c>
      <c r="I48" s="23">
        <f>0</f>
        <v>0</v>
      </c>
      <c r="J48" s="23">
        <f>8334372139.81</f>
        <v>8334372139.8100004</v>
      </c>
      <c r="K48" s="23">
        <f>0</f>
        <v>0</v>
      </c>
      <c r="L48" s="23">
        <f>6127748.42</f>
        <v>6127748.4199999999</v>
      </c>
      <c r="M48" s="23">
        <f>9063.63</f>
        <v>9063.6299999999992</v>
      </c>
      <c r="N48" s="23">
        <f>0</f>
        <v>0</v>
      </c>
      <c r="O48" s="23">
        <f>0</f>
        <v>0</v>
      </c>
      <c r="P48" s="23">
        <f>0</f>
        <v>0</v>
      </c>
      <c r="Q48" s="23">
        <f>0</f>
        <v>0</v>
      </c>
    </row>
    <row r="49" spans="1:17" ht="24" customHeight="1" x14ac:dyDescent="0.2">
      <c r="A49" s="18" t="s">
        <v>35</v>
      </c>
      <c r="B49" s="23">
        <f>4160324313.75</f>
        <v>4160324313.75</v>
      </c>
      <c r="C49" s="23">
        <f>4160060994.71</f>
        <v>4160060994.71</v>
      </c>
      <c r="D49" s="23">
        <f>16265.52</f>
        <v>16265.52</v>
      </c>
      <c r="E49" s="23">
        <f>0</f>
        <v>0</v>
      </c>
      <c r="F49" s="23">
        <f>16265.52</f>
        <v>16265.52</v>
      </c>
      <c r="G49" s="23">
        <f>0</f>
        <v>0</v>
      </c>
      <c r="H49" s="23">
        <f>0</f>
        <v>0</v>
      </c>
      <c r="I49" s="23">
        <f>0</f>
        <v>0</v>
      </c>
      <c r="J49" s="23">
        <f>4160010911.88</f>
        <v>4160010911.8800001</v>
      </c>
      <c r="K49" s="23">
        <f>0</f>
        <v>0</v>
      </c>
      <c r="L49" s="23">
        <f>33817.31</f>
        <v>33817.31</v>
      </c>
      <c r="M49" s="23">
        <f>0</f>
        <v>0</v>
      </c>
      <c r="N49" s="23">
        <f>0</f>
        <v>0</v>
      </c>
      <c r="O49" s="23">
        <f>263319.04</f>
        <v>263319.03999999998</v>
      </c>
      <c r="P49" s="23">
        <f>263319.04</f>
        <v>263319.03999999998</v>
      </c>
      <c r="Q49" s="23">
        <f>0</f>
        <v>0</v>
      </c>
    </row>
    <row r="50" spans="1:17" ht="30.75" customHeight="1" x14ac:dyDescent="0.2">
      <c r="A50" s="24" t="s">
        <v>43</v>
      </c>
      <c r="B50" s="22">
        <f>5196065426.21</f>
        <v>5196065426.21</v>
      </c>
      <c r="C50" s="22">
        <f>5193667601.4</f>
        <v>5193667601.3999996</v>
      </c>
      <c r="D50" s="22">
        <f>9453809.05</f>
        <v>9453809.0500000007</v>
      </c>
      <c r="E50" s="22">
        <f>95676.88</f>
        <v>95676.88</v>
      </c>
      <c r="F50" s="22">
        <f>59544.05</f>
        <v>59544.05</v>
      </c>
      <c r="G50" s="22">
        <f>9238506.94</f>
        <v>9238506.9399999995</v>
      </c>
      <c r="H50" s="22">
        <f>60081.18</f>
        <v>60081.18</v>
      </c>
      <c r="I50" s="22">
        <f>0</f>
        <v>0</v>
      </c>
      <c r="J50" s="22">
        <f>64121.08</f>
        <v>64121.08</v>
      </c>
      <c r="K50" s="22">
        <f>15866341.51</f>
        <v>15866341.51</v>
      </c>
      <c r="L50" s="22">
        <f>2246664314.97</f>
        <v>2246664314.9699998</v>
      </c>
      <c r="M50" s="22">
        <f>2892593252.08</f>
        <v>2892593252.0799999</v>
      </c>
      <c r="N50" s="22">
        <f>29025762.71</f>
        <v>29025762.710000001</v>
      </c>
      <c r="O50" s="22">
        <f>2397824.81</f>
        <v>2397824.81</v>
      </c>
      <c r="P50" s="22">
        <f>1862160.95</f>
        <v>1862160.95</v>
      </c>
      <c r="Q50" s="22">
        <f>535663.86</f>
        <v>535663.86</v>
      </c>
    </row>
    <row r="51" spans="1:17" ht="30" customHeight="1" x14ac:dyDescent="0.2">
      <c r="A51" s="18" t="s">
        <v>36</v>
      </c>
      <c r="B51" s="23">
        <f>97203179.41</f>
        <v>97203179.409999996</v>
      </c>
      <c r="C51" s="23">
        <f>97195871.79</f>
        <v>97195871.790000007</v>
      </c>
      <c r="D51" s="23">
        <f>925871.49</f>
        <v>925871.49</v>
      </c>
      <c r="E51" s="23">
        <f>0</f>
        <v>0</v>
      </c>
      <c r="F51" s="23">
        <f>515</f>
        <v>515</v>
      </c>
      <c r="G51" s="23">
        <f>865475.81</f>
        <v>865475.81</v>
      </c>
      <c r="H51" s="23">
        <f>59880.68</f>
        <v>59880.68</v>
      </c>
      <c r="I51" s="23">
        <f>0</f>
        <v>0</v>
      </c>
      <c r="J51" s="23">
        <f>998.91</f>
        <v>998.91</v>
      </c>
      <c r="K51" s="23">
        <f>0</f>
        <v>0</v>
      </c>
      <c r="L51" s="23">
        <f>88240121.46</f>
        <v>88240121.459999993</v>
      </c>
      <c r="M51" s="23">
        <f>7473616.43</f>
        <v>7473616.4299999997</v>
      </c>
      <c r="N51" s="23">
        <f>555263.5</f>
        <v>555263.5</v>
      </c>
      <c r="O51" s="23">
        <f>7307.62</f>
        <v>7307.62</v>
      </c>
      <c r="P51" s="23">
        <f>7307.62</f>
        <v>7307.62</v>
      </c>
      <c r="Q51" s="23">
        <f>0</f>
        <v>0</v>
      </c>
    </row>
    <row r="52" spans="1:17" ht="24" customHeight="1" x14ac:dyDescent="0.2">
      <c r="A52" s="18" t="s">
        <v>37</v>
      </c>
      <c r="B52" s="23">
        <f>5098862246.8</f>
        <v>5098862246.8000002</v>
      </c>
      <c r="C52" s="23">
        <f>5096471729.61</f>
        <v>5096471729.6099997</v>
      </c>
      <c r="D52" s="23">
        <f>8527937.56</f>
        <v>8527937.5600000005</v>
      </c>
      <c r="E52" s="23">
        <f>95676.88</f>
        <v>95676.88</v>
      </c>
      <c r="F52" s="23">
        <f>59029.05</f>
        <v>59029.05</v>
      </c>
      <c r="G52" s="23">
        <f>8373031.13</f>
        <v>8373031.1299999999</v>
      </c>
      <c r="H52" s="23">
        <f>200.5</f>
        <v>200.5</v>
      </c>
      <c r="I52" s="23">
        <f>0</f>
        <v>0</v>
      </c>
      <c r="J52" s="23">
        <f>63122.17</f>
        <v>63122.17</v>
      </c>
      <c r="K52" s="23">
        <f>15866341.51</f>
        <v>15866341.51</v>
      </c>
      <c r="L52" s="23">
        <f>2158424193.51</f>
        <v>2158424193.5100002</v>
      </c>
      <c r="M52" s="23">
        <f>2885119635.65</f>
        <v>2885119635.6500001</v>
      </c>
      <c r="N52" s="23">
        <f>28470499.21</f>
        <v>28470499.210000001</v>
      </c>
      <c r="O52" s="23">
        <f>2390517.19</f>
        <v>2390517.19</v>
      </c>
      <c r="P52" s="23">
        <f>1854853.33</f>
        <v>1854853.33</v>
      </c>
      <c r="Q52" s="23">
        <f>535663.86</f>
        <v>535663.86</v>
      </c>
    </row>
    <row r="53" spans="1:17" ht="30.75" customHeight="1" x14ac:dyDescent="0.2">
      <c r="A53" s="24" t="s">
        <v>44</v>
      </c>
      <c r="B53" s="22">
        <f>1419847596.13</f>
        <v>1419847596.1300001</v>
      </c>
      <c r="C53" s="22">
        <f>1413812341.75</f>
        <v>1413812341.75</v>
      </c>
      <c r="D53" s="22">
        <f>171872828.15</f>
        <v>171872828.15000001</v>
      </c>
      <c r="E53" s="22">
        <f>17308933.61</f>
        <v>17308933.609999999</v>
      </c>
      <c r="F53" s="22">
        <f>8524883.28</f>
        <v>8524883.2799999993</v>
      </c>
      <c r="G53" s="22">
        <f>145815090.95</f>
        <v>145815090.94999999</v>
      </c>
      <c r="H53" s="22">
        <f>223920.31</f>
        <v>223920.31</v>
      </c>
      <c r="I53" s="22">
        <f>0</f>
        <v>0</v>
      </c>
      <c r="J53" s="22">
        <f>697489.83</f>
        <v>697489.83</v>
      </c>
      <c r="K53" s="22">
        <f>1001.01</f>
        <v>1001.01</v>
      </c>
      <c r="L53" s="22">
        <f>988436225.59</f>
        <v>988436225.59000003</v>
      </c>
      <c r="M53" s="22">
        <f>246964511.51</f>
        <v>246964511.50999999</v>
      </c>
      <c r="N53" s="22">
        <f>5840285.66</f>
        <v>5840285.6600000001</v>
      </c>
      <c r="O53" s="22">
        <f>6035254.38</f>
        <v>6035254.3799999999</v>
      </c>
      <c r="P53" s="22">
        <f>2033527.01</f>
        <v>2033527.01</v>
      </c>
      <c r="Q53" s="22">
        <f>4001727.37</f>
        <v>4001727.37</v>
      </c>
    </row>
    <row r="54" spans="1:17" ht="30" customHeight="1" x14ac:dyDescent="0.2">
      <c r="A54" s="18" t="s">
        <v>38</v>
      </c>
      <c r="B54" s="23">
        <f>52984450.37</f>
        <v>52984450.369999997</v>
      </c>
      <c r="C54" s="23">
        <f>52880782.08</f>
        <v>52880782.079999998</v>
      </c>
      <c r="D54" s="23">
        <f>2898633.74</f>
        <v>2898633.74</v>
      </c>
      <c r="E54" s="23">
        <f>60602.85</f>
        <v>60602.85</v>
      </c>
      <c r="F54" s="23">
        <f>120047.4</f>
        <v>120047.4</v>
      </c>
      <c r="G54" s="23">
        <f>2716919.28</f>
        <v>2716919.28</v>
      </c>
      <c r="H54" s="23">
        <f>1064.21</f>
        <v>1064.21</v>
      </c>
      <c r="I54" s="23">
        <f>0</f>
        <v>0</v>
      </c>
      <c r="J54" s="23">
        <f>9532.5</f>
        <v>9532.5</v>
      </c>
      <c r="K54" s="23">
        <f>41.63</f>
        <v>41.63</v>
      </c>
      <c r="L54" s="23">
        <f>46124943.2</f>
        <v>46124943.200000003</v>
      </c>
      <c r="M54" s="23">
        <f>2730180.78</f>
        <v>2730180.78</v>
      </c>
      <c r="N54" s="23">
        <f>1117450.23</f>
        <v>1117450.23</v>
      </c>
      <c r="O54" s="23">
        <f>103668.29</f>
        <v>103668.29</v>
      </c>
      <c r="P54" s="23">
        <f>17630.92</f>
        <v>17630.919999999998</v>
      </c>
      <c r="Q54" s="23">
        <f>86037.37</f>
        <v>86037.37</v>
      </c>
    </row>
    <row r="55" spans="1:17" ht="33" customHeight="1" x14ac:dyDescent="0.2">
      <c r="A55" s="18" t="s">
        <v>80</v>
      </c>
      <c r="B55" s="23">
        <f>24.26</f>
        <v>24.26</v>
      </c>
      <c r="C55" s="23">
        <f>24.26</f>
        <v>24.26</v>
      </c>
      <c r="D55" s="23">
        <f>24.26</f>
        <v>24.26</v>
      </c>
      <c r="E55" s="23">
        <f>0</f>
        <v>0</v>
      </c>
      <c r="F55" s="23">
        <f>0</f>
        <v>0</v>
      </c>
      <c r="G55" s="23">
        <f>0</f>
        <v>0</v>
      </c>
      <c r="H55" s="23">
        <f>24.26</f>
        <v>24.26</v>
      </c>
      <c r="I55" s="23">
        <f>0</f>
        <v>0</v>
      </c>
      <c r="J55" s="23">
        <f>0</f>
        <v>0</v>
      </c>
      <c r="K55" s="23">
        <f>0</f>
        <v>0</v>
      </c>
      <c r="L55" s="23">
        <f>0</f>
        <v>0</v>
      </c>
      <c r="M55" s="23">
        <f>0</f>
        <v>0</v>
      </c>
      <c r="N55" s="23">
        <f>0</f>
        <v>0</v>
      </c>
      <c r="O55" s="23">
        <f>0</f>
        <v>0</v>
      </c>
      <c r="P55" s="23">
        <f>0</f>
        <v>0</v>
      </c>
      <c r="Q55" s="23">
        <f>0</f>
        <v>0</v>
      </c>
    </row>
    <row r="56" spans="1:17" ht="33" customHeight="1" x14ac:dyDescent="0.2">
      <c r="A56" s="18" t="s">
        <v>39</v>
      </c>
      <c r="B56" s="23">
        <f>1366863121.5</f>
        <v>1366863121.5</v>
      </c>
      <c r="C56" s="23">
        <f>1360931535.41</f>
        <v>1360931535.4100001</v>
      </c>
      <c r="D56" s="23">
        <f>168974170.15</f>
        <v>168974170.15000001</v>
      </c>
      <c r="E56" s="23">
        <f>17248330.76</f>
        <v>17248330.760000002</v>
      </c>
      <c r="F56" s="23">
        <f>8404835.88</f>
        <v>8404835.8800000008</v>
      </c>
      <c r="G56" s="23">
        <f>143098171.67</f>
        <v>143098171.66999999</v>
      </c>
      <c r="H56" s="23">
        <f>222831.84</f>
        <v>222831.84</v>
      </c>
      <c r="I56" s="23">
        <f>0</f>
        <v>0</v>
      </c>
      <c r="J56" s="23">
        <f>687957.33</f>
        <v>687957.33</v>
      </c>
      <c r="K56" s="23">
        <f>959.38</f>
        <v>959.38</v>
      </c>
      <c r="L56" s="23">
        <f>942311282.39</f>
        <v>942311282.38999999</v>
      </c>
      <c r="M56" s="23">
        <f>244234330.73</f>
        <v>244234330.72999999</v>
      </c>
      <c r="N56" s="23">
        <f>4722835.43</f>
        <v>4722835.43</v>
      </c>
      <c r="O56" s="23">
        <f>5931586.09</f>
        <v>5931586.0899999999</v>
      </c>
      <c r="P56" s="23">
        <f>2015896.09</f>
        <v>2015896.09</v>
      </c>
      <c r="Q56" s="23">
        <f>3915690</f>
        <v>3915690</v>
      </c>
    </row>
    <row r="66" spans="1:13" ht="67.5" customHeight="1" x14ac:dyDescent="0.2">
      <c r="A66" s="37" t="str">
        <f>CONCATENATE("Informacja z wykonania budżetów województw za  ",$C$93," ",$B$94," roku    ",$B$96,"")</f>
        <v xml:space="preserve">Informacja z wykonania budżetów województw za  II Kwartały 2025 roku    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</row>
    <row r="67" spans="1:13" ht="13.5" customHeight="1" x14ac:dyDescent="0.2">
      <c r="B67" s="38" t="s">
        <v>2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</row>
    <row r="69" spans="1:13" ht="13.5" customHeight="1" x14ac:dyDescent="0.2">
      <c r="B69" s="61" t="s">
        <v>0</v>
      </c>
      <c r="C69" s="62"/>
      <c r="D69" s="62"/>
      <c r="E69" s="63"/>
      <c r="F69" s="70" t="s">
        <v>70</v>
      </c>
      <c r="G69" s="27" t="s">
        <v>76</v>
      </c>
      <c r="H69" s="56"/>
      <c r="I69" s="56"/>
      <c r="J69" s="56"/>
      <c r="K69" s="56"/>
      <c r="L69" s="57"/>
    </row>
    <row r="70" spans="1:13" ht="13.5" customHeight="1" x14ac:dyDescent="0.2">
      <c r="B70" s="64"/>
      <c r="C70" s="65"/>
      <c r="D70" s="65"/>
      <c r="E70" s="66"/>
      <c r="F70" s="71"/>
      <c r="G70" s="73" t="s">
        <v>71</v>
      </c>
      <c r="H70" s="26" t="s">
        <v>68</v>
      </c>
      <c r="I70" s="26" t="s">
        <v>69</v>
      </c>
      <c r="J70" s="26" t="s">
        <v>72</v>
      </c>
      <c r="K70" s="26" t="s">
        <v>73</v>
      </c>
      <c r="L70" s="30" t="s">
        <v>74</v>
      </c>
    </row>
    <row r="71" spans="1:13" ht="13.5" customHeight="1" x14ac:dyDescent="0.2">
      <c r="B71" s="64"/>
      <c r="C71" s="65"/>
      <c r="D71" s="65"/>
      <c r="E71" s="66"/>
      <c r="F71" s="71"/>
      <c r="G71" s="73"/>
      <c r="H71" s="26"/>
      <c r="I71" s="26"/>
      <c r="J71" s="26"/>
      <c r="K71" s="26"/>
      <c r="L71" s="30"/>
    </row>
    <row r="72" spans="1:13" ht="11.25" customHeight="1" x14ac:dyDescent="0.2">
      <c r="B72" s="64"/>
      <c r="C72" s="65"/>
      <c r="D72" s="65"/>
      <c r="E72" s="66"/>
      <c r="F72" s="71"/>
      <c r="G72" s="73"/>
      <c r="H72" s="26"/>
      <c r="I72" s="26"/>
      <c r="J72" s="26"/>
      <c r="K72" s="26"/>
      <c r="L72" s="30"/>
    </row>
    <row r="73" spans="1:13" ht="11.25" customHeight="1" x14ac:dyDescent="0.2">
      <c r="B73" s="67"/>
      <c r="C73" s="68"/>
      <c r="D73" s="68"/>
      <c r="E73" s="69"/>
      <c r="F73" s="72"/>
      <c r="G73" s="73"/>
      <c r="H73" s="26"/>
      <c r="I73" s="26"/>
      <c r="J73" s="26"/>
      <c r="K73" s="26"/>
      <c r="L73" s="30"/>
    </row>
    <row r="74" spans="1:13" ht="11.25" customHeight="1" x14ac:dyDescent="0.2">
      <c r="B74" s="26">
        <v>1</v>
      </c>
      <c r="C74" s="26"/>
      <c r="D74" s="26"/>
      <c r="E74" s="26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3">
        <v>8</v>
      </c>
    </row>
    <row r="75" spans="1:13" ht="13.5" customHeight="1" x14ac:dyDescent="0.2">
      <c r="B75" s="26"/>
      <c r="C75" s="26"/>
      <c r="D75" s="26"/>
      <c r="E75" s="26"/>
      <c r="F75" s="27" t="s">
        <v>78</v>
      </c>
      <c r="G75" s="28"/>
      <c r="H75" s="28"/>
      <c r="I75" s="28"/>
      <c r="J75" s="28"/>
      <c r="K75" s="28"/>
      <c r="L75" s="29"/>
    </row>
    <row r="76" spans="1:13" ht="33.75" customHeight="1" x14ac:dyDescent="0.2">
      <c r="B76" s="58" t="s">
        <v>55</v>
      </c>
      <c r="C76" s="59"/>
      <c r="D76" s="59"/>
      <c r="E76" s="60"/>
      <c r="F76" s="25">
        <f>1013194188.81</f>
        <v>1013194188.8099999</v>
      </c>
      <c r="G76" s="25">
        <f>290516865.37</f>
        <v>290516865.37</v>
      </c>
      <c r="H76" s="25">
        <f>0</f>
        <v>0</v>
      </c>
      <c r="I76" s="25">
        <f>0</f>
        <v>0</v>
      </c>
      <c r="J76" s="25">
        <f>290516865.37</f>
        <v>290516865.37</v>
      </c>
      <c r="K76" s="25">
        <f>0</f>
        <v>0</v>
      </c>
      <c r="L76" s="25">
        <f>722677323.44</f>
        <v>722677323.44000006</v>
      </c>
    </row>
    <row r="77" spans="1:13" ht="33.75" customHeight="1" x14ac:dyDescent="0.2">
      <c r="B77" s="58" t="s">
        <v>56</v>
      </c>
      <c r="C77" s="59"/>
      <c r="D77" s="59"/>
      <c r="E77" s="60"/>
      <c r="F77" s="25">
        <f>0</f>
        <v>0</v>
      </c>
      <c r="G77" s="25">
        <f>0</f>
        <v>0</v>
      </c>
      <c r="H77" s="25">
        <f>0</f>
        <v>0</v>
      </c>
      <c r="I77" s="25">
        <f>0</f>
        <v>0</v>
      </c>
      <c r="J77" s="25">
        <f>0</f>
        <v>0</v>
      </c>
      <c r="K77" s="25">
        <f>0</f>
        <v>0</v>
      </c>
      <c r="L77" s="25">
        <f>0</f>
        <v>0</v>
      </c>
    </row>
    <row r="78" spans="1:13" ht="33.75" customHeight="1" x14ac:dyDescent="0.2">
      <c r="B78" s="58" t="s">
        <v>57</v>
      </c>
      <c r="C78" s="59"/>
      <c r="D78" s="59"/>
      <c r="E78" s="60"/>
      <c r="F78" s="25">
        <f>24600000</f>
        <v>24600000</v>
      </c>
      <c r="G78" s="25">
        <f>0</f>
        <v>0</v>
      </c>
      <c r="H78" s="25">
        <f>0</f>
        <v>0</v>
      </c>
      <c r="I78" s="25">
        <f>0</f>
        <v>0</v>
      </c>
      <c r="J78" s="25">
        <f>0</f>
        <v>0</v>
      </c>
      <c r="K78" s="25">
        <f>0</f>
        <v>0</v>
      </c>
      <c r="L78" s="25">
        <f>24600000</f>
        <v>24600000</v>
      </c>
    </row>
    <row r="79" spans="1:13" ht="22.5" customHeight="1" x14ac:dyDescent="0.2">
      <c r="B79" s="58" t="s">
        <v>58</v>
      </c>
      <c r="C79" s="59"/>
      <c r="D79" s="59"/>
      <c r="E79" s="60"/>
      <c r="F79" s="25">
        <f>8891950.76</f>
        <v>8891950.7599999998</v>
      </c>
      <c r="G79" s="25">
        <f>7891950.8</f>
        <v>7891950.7999999998</v>
      </c>
      <c r="H79" s="25">
        <f>0</f>
        <v>0</v>
      </c>
      <c r="I79" s="25">
        <f>0</f>
        <v>0</v>
      </c>
      <c r="J79" s="25">
        <f>7891950.8</f>
        <v>7891950.7999999998</v>
      </c>
      <c r="K79" s="25">
        <f>0</f>
        <v>0</v>
      </c>
      <c r="L79" s="25">
        <f>999999.96</f>
        <v>999999.96</v>
      </c>
    </row>
    <row r="80" spans="1:13" ht="33.75" customHeight="1" x14ac:dyDescent="0.2">
      <c r="B80" s="58" t="s">
        <v>59</v>
      </c>
      <c r="C80" s="59"/>
      <c r="D80" s="59"/>
      <c r="E80" s="60"/>
      <c r="F80" s="25">
        <f>198758.31</f>
        <v>198758.31</v>
      </c>
      <c r="G80" s="25">
        <f>168922.69</f>
        <v>168922.69</v>
      </c>
      <c r="H80" s="25">
        <f>0</f>
        <v>0</v>
      </c>
      <c r="I80" s="25">
        <f>0</f>
        <v>0</v>
      </c>
      <c r="J80" s="25">
        <f>168922.69</f>
        <v>168922.69</v>
      </c>
      <c r="K80" s="25">
        <f>0</f>
        <v>0</v>
      </c>
      <c r="L80" s="25">
        <f>29835.62</f>
        <v>29835.62</v>
      </c>
    </row>
    <row r="81" spans="1:13" ht="33.75" customHeight="1" x14ac:dyDescent="0.2">
      <c r="B81" s="58" t="s">
        <v>60</v>
      </c>
      <c r="C81" s="59"/>
      <c r="D81" s="59"/>
      <c r="E81" s="60"/>
      <c r="F81" s="25">
        <f>8861139.66</f>
        <v>8861139.6600000001</v>
      </c>
      <c r="G81" s="25">
        <f>7861139.7</f>
        <v>7861139.7000000002</v>
      </c>
      <c r="H81" s="25">
        <f>0</f>
        <v>0</v>
      </c>
      <c r="I81" s="25">
        <f>0</f>
        <v>0</v>
      </c>
      <c r="J81" s="25">
        <f>7861139.7</f>
        <v>7861139.7000000002</v>
      </c>
      <c r="K81" s="25">
        <f>0</f>
        <v>0</v>
      </c>
      <c r="L81" s="25">
        <f>999999.96</f>
        <v>999999.96</v>
      </c>
    </row>
    <row r="82" spans="1:13" ht="33" customHeight="1" x14ac:dyDescent="0.2">
      <c r="B82" s="58" t="s">
        <v>61</v>
      </c>
      <c r="C82" s="59"/>
      <c r="D82" s="59"/>
      <c r="E82" s="60"/>
      <c r="F82" s="25">
        <f>0</f>
        <v>0</v>
      </c>
      <c r="G82" s="25">
        <f>0</f>
        <v>0</v>
      </c>
      <c r="H82" s="25">
        <f>0</f>
        <v>0</v>
      </c>
      <c r="I82" s="25">
        <f>0</f>
        <v>0</v>
      </c>
      <c r="J82" s="25">
        <f>0</f>
        <v>0</v>
      </c>
      <c r="K82" s="25">
        <f>0</f>
        <v>0</v>
      </c>
      <c r="L82" s="25">
        <f>0</f>
        <v>0</v>
      </c>
    </row>
    <row r="85" spans="1:13" ht="60" customHeight="1" x14ac:dyDescent="0.2">
      <c r="A85" s="37" t="str">
        <f>CONCATENATE("Informacja z wykonania budżetów województw za  ",$C$93," ",$B$94," roku    ",$B$96,"")</f>
        <v xml:space="preserve">Informacja z wykonania budżetów województw za  II Kwartały 2025 roku    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</row>
    <row r="86" spans="1:13" ht="13.5" customHeight="1" x14ac:dyDescent="0.2">
      <c r="B86" s="4"/>
    </row>
    <row r="87" spans="1:13" ht="13.5" customHeight="1" x14ac:dyDescent="0.2">
      <c r="B87" s="5"/>
      <c r="C87" s="27"/>
      <c r="D87" s="56"/>
      <c r="E87" s="56"/>
      <c r="F87" s="57"/>
      <c r="G87" s="27" t="s">
        <v>3</v>
      </c>
      <c r="H87" s="57"/>
      <c r="I87" s="27" t="s">
        <v>4</v>
      </c>
      <c r="J87" s="57"/>
      <c r="K87" s="5"/>
    </row>
    <row r="88" spans="1:13" ht="18" customHeight="1" x14ac:dyDescent="0.2">
      <c r="B88" s="6"/>
      <c r="C88" s="58" t="s">
        <v>5</v>
      </c>
      <c r="D88" s="59"/>
      <c r="E88" s="59"/>
      <c r="F88" s="60"/>
      <c r="G88" s="52">
        <f>16</f>
        <v>16</v>
      </c>
      <c r="H88" s="53"/>
      <c r="I88" s="54">
        <f>5344607989</f>
        <v>5344607989</v>
      </c>
      <c r="J88" s="55"/>
      <c r="K88" s="7"/>
    </row>
    <row r="89" spans="1:13" ht="22.5" customHeight="1" x14ac:dyDescent="0.2">
      <c r="B89" s="6"/>
      <c r="C89" s="58" t="s">
        <v>6</v>
      </c>
      <c r="D89" s="59"/>
      <c r="E89" s="59"/>
      <c r="F89" s="60"/>
      <c r="G89" s="52">
        <f>0</f>
        <v>0</v>
      </c>
      <c r="H89" s="53"/>
      <c r="I89" s="54">
        <f>0</f>
        <v>0</v>
      </c>
      <c r="J89" s="55"/>
      <c r="K89" s="7"/>
    </row>
    <row r="90" spans="1:13" ht="21" customHeight="1" x14ac:dyDescent="0.2">
      <c r="B90" s="6"/>
      <c r="C90" s="58" t="s">
        <v>7</v>
      </c>
      <c r="D90" s="59"/>
      <c r="E90" s="59"/>
      <c r="F90" s="60"/>
      <c r="G90" s="52">
        <f>0</f>
        <v>0</v>
      </c>
      <c r="H90" s="53"/>
      <c r="I90" s="54">
        <f>0</f>
        <v>0</v>
      </c>
      <c r="J90" s="55"/>
      <c r="K90" s="7"/>
    </row>
    <row r="93" spans="1:13" ht="13.5" customHeight="1" x14ac:dyDescent="0.2">
      <c r="A93" s="8" t="s">
        <v>8</v>
      </c>
      <c r="B93" s="8">
        <f>2</f>
        <v>2</v>
      </c>
      <c r="C93" s="8" t="str">
        <f>IF(B93=1,"I Kwartał",IF(B93=2,"II Kwartały",IF(B93=3,"III Kwartały",IF(B93=4,"IV Kwartały","-"))))</f>
        <v>II Kwartały</v>
      </c>
    </row>
    <row r="94" spans="1:13" ht="13.5" customHeight="1" x14ac:dyDescent="0.2">
      <c r="A94" s="8" t="s">
        <v>9</v>
      </c>
      <c r="B94" s="8">
        <f>2025</f>
        <v>2025</v>
      </c>
      <c r="C94" s="9"/>
    </row>
    <row r="95" spans="1:13" ht="13.5" customHeight="1" x14ac:dyDescent="0.2">
      <c r="A95" s="8" t="s">
        <v>10</v>
      </c>
      <c r="B95" s="10" t="str">
        <f>"Aug 15 2025 12:00AM"</f>
        <v>Aug 15 2025 12:00AM</v>
      </c>
      <c r="C95" s="9"/>
    </row>
    <row r="96" spans="1:13" ht="13.5" customHeight="1" x14ac:dyDescent="0.2">
      <c r="A96" s="14" t="s">
        <v>77</v>
      </c>
      <c r="B96" s="10" t="str">
        <f>""</f>
        <v/>
      </c>
    </row>
  </sheetData>
  <mergeCells count="79">
    <mergeCell ref="O6:Q6"/>
    <mergeCell ref="O7:O10"/>
    <mergeCell ref="A66:M66"/>
    <mergeCell ref="L34:L37"/>
    <mergeCell ref="P34:P37"/>
    <mergeCell ref="Q34:Q37"/>
    <mergeCell ref="N34:N37"/>
    <mergeCell ref="O34:O37"/>
    <mergeCell ref="D34:D37"/>
    <mergeCell ref="H7:H10"/>
    <mergeCell ref="M34:M37"/>
    <mergeCell ref="J7:J10"/>
    <mergeCell ref="B39:Q39"/>
    <mergeCell ref="B81:E81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B80:E80"/>
    <mergeCell ref="B77:E77"/>
    <mergeCell ref="B76:E76"/>
    <mergeCell ref="F69:F73"/>
    <mergeCell ref="G70:G73"/>
    <mergeCell ref="G69:L69"/>
    <mergeCell ref="G90:H90"/>
    <mergeCell ref="I90:J90"/>
    <mergeCell ref="C87:F87"/>
    <mergeCell ref="C88:F88"/>
    <mergeCell ref="C89:F89"/>
    <mergeCell ref="C90:F90"/>
    <mergeCell ref="G88:H88"/>
    <mergeCell ref="G87:H87"/>
    <mergeCell ref="G89:H89"/>
    <mergeCell ref="I89:J89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G7:G10"/>
    <mergeCell ref="F7:F10"/>
    <mergeCell ref="I7:I10"/>
    <mergeCell ref="Q7:Q10"/>
    <mergeCell ref="C33:N33"/>
    <mergeCell ref="L7:L10"/>
    <mergeCell ref="M7:M10"/>
    <mergeCell ref="N7:N10"/>
    <mergeCell ref="P7:P10"/>
    <mergeCell ref="A29:M29"/>
    <mergeCell ref="O33:Q33"/>
    <mergeCell ref="A31:M31"/>
    <mergeCell ref="A33:A37"/>
    <mergeCell ref="C34:C37"/>
    <mergeCell ref="E34:E37"/>
    <mergeCell ref="B33:B37"/>
    <mergeCell ref="B12:Q12"/>
    <mergeCell ref="B75:E75"/>
    <mergeCell ref="F75:L75"/>
    <mergeCell ref="L70:L73"/>
    <mergeCell ref="F34:F37"/>
    <mergeCell ref="G34:G37"/>
    <mergeCell ref="H34:H37"/>
    <mergeCell ref="K34:K37"/>
    <mergeCell ref="I34:I37"/>
    <mergeCell ref="K70:K73"/>
    <mergeCell ref="J34:J37"/>
    <mergeCell ref="H70:H73"/>
    <mergeCell ref="I70:I73"/>
    <mergeCell ref="J70:J73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2009-11-20T13:14:31Z</cp:lastPrinted>
  <dcterms:created xsi:type="dcterms:W3CDTF">2001-05-17T08:58:03Z</dcterms:created>
  <dcterms:modified xsi:type="dcterms:W3CDTF">2025-08-21T11:42:35Z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2025-08-19T09:23:22.9482671+02:00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GRN-cc68ec16-e19a-45d4-a876-0142066c8445</vt:lpwstr>
  </property>
  <property fmtid="{D5CDD505-2E9C-101B-9397-08002B2CF9AE}" pid="7" name="MFHash">
    <vt:lpwstr>76qMBAWieWoy0YY1uqkJpnyjB9t524iAHD2WtpyKnAM=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