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staniszewski\Desktop\"/>
    </mc:Choice>
  </mc:AlternateContent>
  <xr:revisionPtr revIDLastSave="0" documentId="13_ncr:1_{8D3AEA2E-3EE0-445D-98CD-73C735705377}" xr6:coauthVersionLast="47" xr6:coauthVersionMax="47" xr10:uidLastSave="{00000000-0000-0000-0000-000000000000}"/>
  <bookViews>
    <workbookView xWindow="2340" yWindow="2085" windowWidth="13545" windowHeight="14115" xr2:uid="{00000000-000D-0000-FFFF-FFFF00000000}"/>
  </bookViews>
  <sheets>
    <sheet name="Przedmiar Robót" sheetId="1" r:id="rId1"/>
  </sheets>
  <definedNames>
    <definedName name="_xlnm._FilterDatabase" localSheetId="0" hidden="1">'Przedmiar Robót'!$A$3:$F$157</definedName>
    <definedName name="_xlnm.Print_Area" localSheetId="0">'Przedmiar Robót'!$A$1:$F$197</definedName>
    <definedName name="_xlnm.Print_Titles" localSheetId="0">'Przedmiar Robót'!$3:$3</definedName>
  </definedNames>
  <calcPr calcId="191029"/>
</workbook>
</file>

<file path=xl/calcChain.xml><?xml version="1.0" encoding="utf-8"?>
<calcChain xmlns="http://schemas.openxmlformats.org/spreadsheetml/2006/main">
  <c r="E8" i="1" l="1"/>
  <c r="F6" i="1" s="1"/>
  <c r="A9" i="1"/>
  <c r="A12" i="1" s="1"/>
  <c r="A15" i="1" s="1"/>
  <c r="A27" i="1" s="1"/>
  <c r="F9" i="1"/>
  <c r="F12" i="1"/>
  <c r="F15" i="1"/>
  <c r="E30" i="1"/>
  <c r="E31" i="1"/>
  <c r="E32" i="1"/>
  <c r="E35" i="1"/>
  <c r="F33" i="1" s="1"/>
  <c r="E39" i="1"/>
  <c r="F37" i="1" s="1"/>
  <c r="E42" i="1"/>
  <c r="F40" i="1" s="1"/>
  <c r="E45" i="1"/>
  <c r="F43" i="1" s="1"/>
  <c r="F47" i="1"/>
  <c r="E52" i="1"/>
  <c r="F50" i="1" s="1"/>
  <c r="F55" i="1"/>
  <c r="F58" i="1"/>
  <c r="F61" i="1"/>
  <c r="E67" i="1"/>
  <c r="F65" i="1" s="1"/>
  <c r="E70" i="1"/>
  <c r="E71" i="1"/>
  <c r="F74" i="1"/>
  <c r="F77" i="1"/>
  <c r="E82" i="1"/>
  <c r="F80" i="1" s="1"/>
  <c r="E85" i="1"/>
  <c r="F83" i="1" s="1"/>
  <c r="E89" i="1"/>
  <c r="F87" i="1" s="1"/>
  <c r="E94" i="1"/>
  <c r="F92" i="1" s="1"/>
  <c r="E97" i="1"/>
  <c r="E98" i="1"/>
  <c r="E102" i="1"/>
  <c r="E103" i="1"/>
  <c r="E104" i="1"/>
  <c r="E105" i="1"/>
  <c r="E106" i="1"/>
  <c r="E107" i="1"/>
  <c r="F109" i="1"/>
  <c r="F112" i="1"/>
  <c r="E117" i="1"/>
  <c r="F115" i="1" s="1"/>
  <c r="E121" i="1"/>
  <c r="E122" i="1"/>
  <c r="E125" i="1"/>
  <c r="F123" i="1" s="1"/>
  <c r="E138" i="1"/>
  <c r="E139" i="1"/>
  <c r="E142" i="1"/>
  <c r="F140" i="1" s="1"/>
  <c r="E146" i="1"/>
  <c r="F144" i="1" s="1"/>
  <c r="E152" i="1"/>
  <c r="F150" i="1" s="1"/>
  <c r="F154" i="1"/>
  <c r="E162" i="1"/>
  <c r="E163" i="1"/>
  <c r="E168" i="1"/>
  <c r="F166" i="1" s="1"/>
  <c r="E181" i="1"/>
  <c r="F179" i="1" s="1"/>
  <c r="E184" i="1"/>
  <c r="F182" i="1" s="1"/>
  <c r="F185" i="1"/>
  <c r="F28" i="1" l="1"/>
  <c r="F160" i="1"/>
  <c r="F68" i="1"/>
  <c r="F136" i="1"/>
  <c r="F100" i="1"/>
  <c r="F119" i="1"/>
  <c r="F95" i="1"/>
  <c r="A28" i="1"/>
  <c r="A33" i="1"/>
  <c r="A37" i="1"/>
  <c r="A40" i="1" s="1"/>
  <c r="A43" i="1" s="1"/>
  <c r="A46" i="1" s="1"/>
  <c r="A47" i="1" l="1"/>
  <c r="A50" i="1"/>
  <c r="A54" i="1"/>
  <c r="A55" i="1" l="1"/>
  <c r="A58" i="1"/>
  <c r="A61" i="1"/>
  <c r="A65" i="1"/>
  <c r="A68" i="1" s="1"/>
  <c r="A73" i="1" s="1"/>
  <c r="A74" i="1" l="1"/>
  <c r="A87" i="1"/>
  <c r="A91" i="1" s="1"/>
  <c r="A77" i="1"/>
  <c r="A80" i="1"/>
  <c r="A83" i="1"/>
  <c r="A92" i="1" l="1"/>
  <c r="A95" i="1"/>
  <c r="A100" i="1"/>
  <c r="A108" i="1" s="1"/>
  <c r="A112" i="1" l="1"/>
  <c r="A115" i="1"/>
  <c r="A109" i="1"/>
  <c r="A119" i="1"/>
  <c r="A135" i="1" l="1"/>
  <c r="A123" i="1"/>
  <c r="A144" i="1" l="1"/>
  <c r="A149" i="1" s="1"/>
  <c r="A136" i="1"/>
  <c r="A140" i="1"/>
  <c r="A150" i="1" l="1"/>
  <c r="A154" i="1"/>
  <c r="A159" i="1"/>
  <c r="A160" i="1" l="1"/>
  <c r="A165" i="1"/>
  <c r="A166" i="1" l="1"/>
  <c r="A177" i="1"/>
  <c r="A182" i="1" l="1"/>
  <c r="A179" i="1"/>
  <c r="A185" i="1"/>
</calcChain>
</file>

<file path=xl/sharedStrings.xml><?xml version="1.0" encoding="utf-8"?>
<sst xmlns="http://schemas.openxmlformats.org/spreadsheetml/2006/main" count="324" uniqueCount="220">
  <si>
    <t>PRZEDMIAR ROBÓT</t>
  </si>
  <si>
    <t>L.p.</t>
  </si>
  <si>
    <t>Nr STWiORB</t>
  </si>
  <si>
    <t>Opis i wyliczenia</t>
  </si>
  <si>
    <t>J.m.</t>
  </si>
  <si>
    <t>Razem</t>
  </si>
  <si>
    <t>ROBOTY MOSTOWE</t>
  </si>
  <si>
    <t>CPV 45221111-3 Roboty budowlane w zakresie mostów drogowych</t>
  </si>
  <si>
    <t>M.01.00.00</t>
  </si>
  <si>
    <t>ROBOTY PRZYGOTOWAWCZE</t>
  </si>
  <si>
    <t>D.01.02.02</t>
  </si>
  <si>
    <t>Zdjęcie warstwy humusu i darniny</t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</si>
  <si>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</si>
  <si>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</si>
  <si>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kpl.</t>
  </si>
  <si>
    <t>m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</si>
  <si>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</si>
  <si>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</si>
  <si>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szt.</t>
  </si>
  <si>
    <t>M.11.00.00</t>
  </si>
  <si>
    <t>FUNDAMENTOWANIE</t>
  </si>
  <si>
    <t>M.11.01.04</t>
  </si>
  <si>
    <t>Zasypanie wykopów z zagęszczeniem gruntu</t>
  </si>
  <si>
    <t>&gt; ROZLICZENIE ROBÓT RYCZAŁTOWE</t>
  </si>
  <si>
    <t>M.12.00.00</t>
  </si>
  <si>
    <t>ZBROJENIE</t>
  </si>
  <si>
    <t>M.13.00.00</t>
  </si>
  <si>
    <t>BETON</t>
  </si>
  <si>
    <t>M.13.01.01</t>
  </si>
  <si>
    <t>Beton fundamentów w deskowaniu</t>
  </si>
  <si>
    <t>M.16.00.00</t>
  </si>
  <si>
    <t>ODWODNIENIE</t>
  </si>
  <si>
    <t>ELEMENTY ZABEZPIECZAJĄCE</t>
  </si>
  <si>
    <t>M.20.00.00</t>
  </si>
  <si>
    <t>INNE ROBOTY MOSTOWE</t>
  </si>
  <si>
    <t>M.20.04.04</t>
  </si>
  <si>
    <t>Narzut kamienny</t>
  </si>
  <si>
    <t>ROBOTY DROGOWE</t>
  </si>
  <si>
    <t>CPV 45233120-6 Roboty w zakresie budowy dróg</t>
  </si>
  <si>
    <t>km</t>
  </si>
  <si>
    <t>D.04.00.00</t>
  </si>
  <si>
    <t>PODBUDOWY</t>
  </si>
  <si>
    <t>D.04.01.01</t>
  </si>
  <si>
    <t>Profilowanie i zagęszczanie podłoża</t>
  </si>
  <si>
    <t>&gt; Profilowanie i zagęszczanie podłoża gruntowego pod warstwy konstrukcyjne nawierzchni</t>
  </si>
  <si>
    <t>D.05.00.00</t>
  </si>
  <si>
    <t>NAWIERZCHNIE</t>
  </si>
  <si>
    <t>D.06.00.00</t>
  </si>
  <si>
    <t>ROBOTY WYKOŃCZENIOWE</t>
  </si>
  <si>
    <t>INNE ROBOTY</t>
  </si>
  <si>
    <t>D.10.07.01</t>
  </si>
  <si>
    <t>Zjazdy z nawierzchnią z kruszywa</t>
  </si>
  <si>
    <t>D.05.02.01</t>
  </si>
  <si>
    <t>Nawierzchnia tłuczniowa</t>
  </si>
  <si>
    <t>Nawierzchnia tłuczniowa – warstwa dolna</t>
  </si>
  <si>
    <t>Nawierzchnia tłuczniowa – warstwa górna</t>
  </si>
  <si>
    <t>D.06.03.01</t>
  </si>
  <si>
    <t>Pobocza</t>
  </si>
  <si>
    <t>Pobocza gruntowe</t>
  </si>
  <si>
    <t>D.10.00.00</t>
  </si>
  <si>
    <t>M.13.01.08</t>
  </si>
  <si>
    <t>Beton gzymsów</t>
  </si>
  <si>
    <t>Zbrojenie gzymsów</t>
  </si>
  <si>
    <t>Ilość</t>
  </si>
  <si>
    <t>ROBOTY TYMCZASOWE</t>
  </si>
  <si>
    <t>&gt; ściana czołowa wlotu:   0,80×2,50×7,20 =</t>
  </si>
  <si>
    <t>&gt; ściana czołowa wylotu:   0,80×2,70×9,00 =</t>
  </si>
  <si>
    <t>&gt; mur oporowy na brzegu prawym:   0,60×1,50×5,00 =</t>
  </si>
  <si>
    <t>&gt; 2×18,0 =</t>
  </si>
  <si>
    <t>M.11.01.01</t>
  </si>
  <si>
    <t>Wykopy fundamentowe bez umocnienia</t>
  </si>
  <si>
    <t>Zbrojenie fundamentów</t>
  </si>
  <si>
    <t>Zbrojenie wieńców</t>
  </si>
  <si>
    <t>&gt; 20,7×18,00 =</t>
  </si>
  <si>
    <t>&gt; gzymsy ścian czołowych:   0,30×0,50×(15,00+7,26+2×3,41) =</t>
  </si>
  <si>
    <t>&gt; wieńce konstrukcji stalowej: (0,42×0,60+0,42×0,60)×8,14 =</t>
  </si>
  <si>
    <t>Rozbiórka dwuotworowego przepustu z kręgów żelb. Ø1,50m
wraz z fundamentem/podsypką</t>
  </si>
  <si>
    <t>M.16.02.01</t>
  </si>
  <si>
    <t>Drenaż za przyczółkiem</t>
  </si>
  <si>
    <t>Mur oporowy kamienny</t>
  </si>
  <si>
    <t>&gt; ściana czołowa wylotu:   (15,00×2,40–10,00)×1,05 =</t>
  </si>
  <si>
    <t>&gt; ściana czołowa wlotu:
   (7,00×2,25–10,00)×0,60+2×3,85×1,85×0,75 =</t>
  </si>
  <si>
    <t>&gt; 2×0,30×0,80×18,60 × 110% =</t>
  </si>
  <si>
    <r>
      <t>&gt; droga leśna:   ok. 830 m</t>
    </r>
    <r>
      <rPr>
        <vertAlign val="superscript"/>
        <sz val="10"/>
        <rFont val="Times New Roman"/>
        <family val="1"/>
        <charset val="238"/>
      </rPr>
      <t>2</t>
    </r>
  </si>
  <si>
    <r>
      <t>&gt; składnica drewna:   ok. 270 m</t>
    </r>
    <r>
      <rPr>
        <vertAlign val="superscript"/>
        <sz val="10"/>
        <rFont val="Times New Roman"/>
        <family val="1"/>
        <charset val="238"/>
      </rPr>
      <t>2</t>
    </r>
  </si>
  <si>
    <t>D.04.04.01</t>
  </si>
  <si>
    <t>Podbudowa z kruszywa naturalnego</t>
  </si>
  <si>
    <t>Korytowanie</t>
  </si>
  <si>
    <t xml:space="preserve">Wykonanie w istn. terenie koryta o średniej głębokości ok. 20cm pod warstwy konstrukcyjne nawierzchni </t>
  </si>
  <si>
    <t>&gt; droga leśna:   830+134,80×(0,25+0,25) =</t>
  </si>
  <si>
    <t>&gt; droga leśna:   830+134,80×(0,60+0,60) =</t>
  </si>
  <si>
    <t>&gt; droga leśna:   830+134,80×(0,75+0,75) =</t>
  </si>
  <si>
    <t>m2</t>
  </si>
  <si>
    <t>&gt; składnica drewna:  270 =</t>
  </si>
  <si>
    <t>&gt; składnica drewna:   270 =</t>
  </si>
  <si>
    <t>D.01.02.01</t>
  </si>
  <si>
    <t>Ochrona drzew</t>
  </si>
  <si>
    <t>&gt; ok. 15 szt.</t>
  </si>
  <si>
    <t>Usunięcie drzew lub krzaków</t>
  </si>
  <si>
    <r>
      <t>&gt; ok. 150 m</t>
    </r>
    <r>
      <rPr>
        <vertAlign val="superscript"/>
        <sz val="10"/>
        <rFont val="Times New Roman"/>
        <family val="1"/>
        <charset val="238"/>
      </rPr>
      <t>2</t>
    </r>
  </si>
  <si>
    <r>
      <t>&gt; ok. 250 m</t>
    </r>
    <r>
      <rPr>
        <vertAlign val="superscript"/>
        <sz val="10"/>
        <rFont val="Times New Roman"/>
        <family val="1"/>
        <charset val="238"/>
      </rPr>
      <t>2</t>
    </r>
  </si>
  <si>
    <t>Usunięcie zakrzaczeń i podszytu na skarpach i na brzegach potoku</t>
  </si>
  <si>
    <t>Usunięcie humusu i runa leśnego z powierzchni terenu zajętego pod budowę na odkład do ponownego ułożenia</t>
  </si>
  <si>
    <t>Balustrada drewniana</t>
  </si>
  <si>
    <t>&gt; 2×(36+36) =</t>
  </si>
  <si>
    <t>Kotwy z prętów zbrojeniowych</t>
  </si>
  <si>
    <t>kg</t>
  </si>
  <si>
    <t>Przygotowanie kotew z prętów zbrojeniowych</t>
  </si>
  <si>
    <t>&gt; pręty Ø25</t>
  </si>
  <si>
    <t>Osadzenie kotew w podłożu</t>
  </si>
  <si>
    <t>Osadzenie kotew w podłożu skalnym na zaprawie lub żywicy syntetycznej (wg dokumentacji projektowej)</t>
  </si>
  <si>
    <t>M.14.00.00</t>
  </si>
  <si>
    <t>KONSTRUKCJE STALOWE</t>
  </si>
  <si>
    <t>Konstrukcja stalowa</t>
  </si>
  <si>
    <t>&gt; kpl</t>
  </si>
  <si>
    <t>Dostawa i montaż konstrukcji ze stalowych blach falistych ocykowanych ogniowo (SuperCor SC-15B lub równoważna) z kompletem elementów złącznych (śruby, kotwy itp)</t>
  </si>
  <si>
    <t>Ekran przeciwwilgociowy</t>
  </si>
  <si>
    <t>&gt; 9,60×18,00 =</t>
  </si>
  <si>
    <t>&gt; [2×(0,80×1,20×4,50+0,80×1,20×18,65+0,80×1,80×3,68)] × 120% =</t>
  </si>
  <si>
    <t>&gt; 2×(1,20×4,50+1,20×18,65+1,80×3,68)×0,10 =</t>
  </si>
  <si>
    <t>Beton wyrównawczy</t>
  </si>
  <si>
    <t>Rozebranie umocnień kamiennych</t>
  </si>
  <si>
    <t>Rozebranie korpusu istn. progu z kamienia łamanego</t>
  </si>
  <si>
    <t>Konstrukcje z drewna</t>
  </si>
  <si>
    <t>Umocnienia kamienne</t>
  </si>
  <si>
    <t>Wykonanie ścianki czołowej progu z okrąglaków Ø18cm oraz belek oczepowych 20×20cm</t>
  </si>
  <si>
    <t>Wykonanie fundamentów przepustu i ścian czołowych z betonu C25/30 (W8); dodatek 20% z uwagi na posadowienie fundamentów na nieregularnym podłożu skalnym</t>
  </si>
  <si>
    <t>Przygotowanie i montaż zbrojenia fundamentów z prętów Ø8÷Ø14</t>
  </si>
  <si>
    <t>Przygotowanie i montaż zbrojenia wieńców z prętów Ø10÷Ø12</t>
  </si>
  <si>
    <t>&gt; wg wykazu stali:</t>
  </si>
  <si>
    <t>Przygotowanie i montaż zbrojenia wieńców z prętów Ø8÷Ø12</t>
  </si>
  <si>
    <t>Wykonanie wieńców i gzymsów z betonu C25/30:</t>
  </si>
  <si>
    <r>
      <t>Wykonanie korpusu progu z kamienia łamanego D</t>
    </r>
    <r>
      <rPr>
        <vertAlign val="subscript"/>
        <sz val="10"/>
        <rFont val="Times New Roman"/>
        <family val="1"/>
        <charset val="238"/>
      </rPr>
      <t>śr</t>
    </r>
    <r>
      <rPr>
        <sz val="10"/>
        <rFont val="Times New Roman"/>
        <family val="1"/>
        <charset val="238"/>
      </rPr>
      <t>=30cm klinowanego tłuczniem</t>
    </r>
  </si>
  <si>
    <t>Zapewnienie ciągłości przepływu wód cieku</t>
  </si>
  <si>
    <r>
      <t>Wykonanie i montaż balustrad z drewna klasy C24 (0,045m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/mb)
na gzymsach ścian czołowych przepustu</t>
    </r>
  </si>
  <si>
    <t>&gt; droga leśna:   830+134,80×1,50 =</t>
  </si>
  <si>
    <r>
      <t>Obmurowanie fundamentów przepustu kamieniem łamanym o granulacji D</t>
    </r>
    <r>
      <rPr>
        <vertAlign val="subscript"/>
        <sz val="10"/>
        <rFont val="Times New Roman"/>
        <family val="1"/>
        <charset val="238"/>
      </rPr>
      <t>śr</t>
    </r>
    <r>
      <rPr>
        <sz val="10"/>
        <rFont val="Times New Roman"/>
        <family val="1"/>
        <charset val="238"/>
      </rPr>
      <t>=30cm (dodatek 10% z uwagi na nieregularne dno potoku)</t>
    </r>
  </si>
  <si>
    <t>Zjazdy gospodarcze i na drogi boczne</t>
  </si>
  <si>
    <t>Uzupełnienie kruszywem istn. zjazdów na drogi i dukty leśne</t>
  </si>
  <si>
    <t>m3</t>
  </si>
  <si>
    <t>&gt; (100,0+50,0+11,0)×0,20 =</t>
  </si>
  <si>
    <t>Grodze ziemne
(wykonanie i rozbiórka)</t>
  </si>
  <si>
    <t>&gt; 2×1,00×(0,50+2,50)×6,00 =</t>
  </si>
  <si>
    <t>Rurociąg tymczasowy
(wykonanie i rozbiórka)</t>
  </si>
  <si>
    <t>&gt; ryczałt</t>
  </si>
  <si>
    <t>Tymczasowy przepust  2×Ø0,60m z rur z tworzyw sztucznych</t>
  </si>
  <si>
    <t>Grodze ziemne w korycie potoku z materiału miejscowego z umocnieniem skarpy odwodnej geowłókniną i narzutem kamiennym</t>
  </si>
  <si>
    <t>&gt; 2×25,00 =</t>
  </si>
  <si>
    <t>PRACE PRZYGOTOWAWCZE</t>
  </si>
  <si>
    <t>Prace pomiarowe</t>
  </si>
  <si>
    <t>M.01.02.04</t>
  </si>
  <si>
    <t>Rozbiórka przepustów</t>
  </si>
  <si>
    <t>Rozbiórka ścian czołowych</t>
  </si>
  <si>
    <t>&gt; Rozbiórka ścian czołowych istn. przepustu oraz muru oporowego na prawym brzegu potoku; mur warstwowy z kamienia łamanego na zaprawie cementowej</t>
  </si>
  <si>
    <t>Rozbiórka przepustu</t>
  </si>
  <si>
    <t>Rozkop korpusu drogi leśnej, odkopanie istn. przepustu.
Wykop szerokoprzestrzenny z wywiezieniem gruntu; głębokość wykopu ok. 3,0m (od poziomu korony drogi)</t>
  </si>
  <si>
    <t>Zasypanie wykopów fundamentowych do poziomu wierzchu fundamentów gruntem rodzimym pozyskanym z wykopu, z zagęszczeniem/ubiciem gruntu</t>
  </si>
  <si>
    <t>Wykonanie drenaży z rur filtracyjnych Ø100 z tworzywa sztucznego w obsypce żwirowej</t>
  </si>
  <si>
    <t>Urządzenia ochrony wód
(montaż i demontaż)</t>
  </si>
  <si>
    <t>Urządzenia zabezpieczające wody potoku przed zanieczyszczeniem (np. rękawy sorpcyjne)</t>
  </si>
  <si>
    <t>&gt; od km 0+000,00 do km 0+070,00:   0,50×0,43×70,0 =</t>
  </si>
  <si>
    <t>&gt; od km 0+070,00 do km 0+134,80:   2×1,00×0,43×64,8 =</t>
  </si>
  <si>
    <t>&gt; Wykonanie poboczy drogi leśnej z gruntu miejscowego</t>
  </si>
  <si>
    <t>Wykonanie podbudowy z kruszywa naturalnego 0/31.5, stabilizowanego mechanicznie; grubość warstwy 15cm</t>
  </si>
  <si>
    <t>Wykonanie dolnej warstwy nawierzchni z kruszywa łamanego 0/63; grubość warstwy po zagęszczeniu 18cm</t>
  </si>
  <si>
    <t>Wykonanie górnej warstwy nawierzchni z kruszywa łamanego 0/31,5; grubość warstwy po zagęszczeniu 9cm</t>
  </si>
  <si>
    <t>Okładzina kamienna</t>
  </si>
  <si>
    <t>M.11.07.02</t>
  </si>
  <si>
    <t>Osadzenie w podłożu kotew i prętów</t>
  </si>
  <si>
    <t>M.21.00.00</t>
  </si>
  <si>
    <t>ROBOTY PRZYOBIEKTOWE</t>
  </si>
  <si>
    <t>M.19.03.03</t>
  </si>
  <si>
    <t>M.21.02.11</t>
  </si>
  <si>
    <t>M.21.02.03</t>
  </si>
  <si>
    <t>D.01.01.01
M.01.01.01</t>
  </si>
  <si>
    <t>M.12.01.01</t>
  </si>
  <si>
    <t>Zbrojenie betonu prętami ze stali żebrowanej</t>
  </si>
  <si>
    <t>M.11.07.01</t>
  </si>
  <si>
    <t>Wyrównanie podłoża pod fundamenty
&gt; beton C25/30 (W8); warstwa o średniej grubości 10 cm;</t>
  </si>
  <si>
    <t>D.01.02.01a</t>
  </si>
  <si>
    <t>CPV 45100000-8 Przygotowanie terenu pod budowę</t>
  </si>
  <si>
    <t>Zabezpieczenie pnia i bryły korzeniowej drzew o obwodzie ponad 30cm na okres wykonywania robót budowlanych</t>
  </si>
  <si>
    <t>M.20.04.09</t>
  </si>
  <si>
    <t>Próg w korycie cieku</t>
  </si>
  <si>
    <t>Wytyczenie osi i punktów charakterystycznych przepustu; wytyczenie osi i krawędzi dojazdów; wytyczenie krawędzi umocnień; wyznaczenie rzędnych wysokościowych</t>
  </si>
  <si>
    <r>
      <t>Opaska brzegowa z kamienia łamanego D</t>
    </r>
    <r>
      <rPr>
        <vertAlign val="subscript"/>
        <sz val="10"/>
        <rFont val="Times New Roman"/>
        <family val="1"/>
        <charset val="238"/>
      </rPr>
      <t>śr</t>
    </r>
    <r>
      <rPr>
        <sz val="10"/>
        <rFont val="Times New Roman"/>
        <family val="1"/>
        <charset val="238"/>
      </rPr>
      <t>=60cm na podsypce filtracyjnej z kruszywa i zasypaniem narzutu gruntem zdatnym do porostu</t>
    </r>
  </si>
  <si>
    <t>M.14.02.01</t>
  </si>
  <si>
    <t>Konstrukcja ze stalowych blach falistych o przekroju otwartym</t>
  </si>
  <si>
    <t>"Parasol" ochronny nad przepustem: geowłóknina PP + geomembrana PEHD + geowłóknina PP</t>
  </si>
  <si>
    <r>
      <t>Ściany czołowe przepustu z kamienia łamanego D</t>
    </r>
    <r>
      <rPr>
        <vertAlign val="subscript"/>
        <sz val="10"/>
        <rFont val="Times New Roman"/>
        <family val="1"/>
        <charset val="238"/>
      </rPr>
      <t>śr</t>
    </r>
    <r>
      <rPr>
        <sz val="10"/>
        <rFont val="Times New Roman"/>
        <family val="1"/>
        <charset val="238"/>
      </rPr>
      <t>=30-60cm na betonie lub zaprawie cementowej</t>
    </r>
  </si>
  <si>
    <t>Elementy stalowe</t>
  </si>
  <si>
    <t>&gt; 17×4,80 =</t>
  </si>
  <si>
    <t>Elementy drewniane</t>
  </si>
  <si>
    <t>Wykonanie i montaż zakotwień słupków balustrady ze stali S235</t>
  </si>
  <si>
    <t>&gt; ściana czołowa wlotu:   0,045×7,60 =</t>
  </si>
  <si>
    <t>&gt; ściana czołowa wylotu:   0,045×15,00 =</t>
  </si>
  <si>
    <r>
      <t>&gt; 0,5×(7,60+15,00)×18,00×3,00 – 0,785</t>
    </r>
    <r>
      <rPr>
        <sz val="10"/>
        <rFont val="Times New Roman"/>
        <family val="1"/>
        <charset val="238"/>
      </rPr>
      <t>×1,80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×18,00 =</t>
    </r>
  </si>
  <si>
    <t>&gt; 0,75×1,20×3,00 =</t>
  </si>
  <si>
    <r>
      <t>&gt; umocnienie poniżej obiektu:   2×6,0m×1,35m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</si>
  <si>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r>
      <t>&gt; umocnienie koryta powyżej obiektu:   2×14,0m×1,35m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</si>
  <si>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r>
      <t>&gt; umocnienie wlotu:   2×3,0m×1,80m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</si>
  <si>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r>
      <t>&gt; umocnienie koryta poniżej progu:   2×3,0m×2,30m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</si>
  <si>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r>
      <t>&gt; umocnienie koryta powyżej progu:   2×1,8m×1,35m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</si>
  <si>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r>
      <t>&gt; umocnienie koryta na progu:   2×1,2m×2,50m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 =</t>
    </r>
  </si>
  <si>
    <t>&gt; Wykonanie i rozbiórka elementów umożliwiających przepływ wód potoku w czasie prowadzenia robót w obrębie koryta – wg rozwiązania Wykonawcy robót – z uwzględnieniem wymagań podanych w dokumentacji projektowej</t>
  </si>
  <si>
    <t>&gt; 2×16,00 + 2×5,80 =</t>
  </si>
  <si>
    <t>Zabezpieczenie antykorozyjne powłoką malarską</t>
  </si>
  <si>
    <t>Zasypka z kruszywa</t>
  </si>
  <si>
    <r>
      <t>Zasypanie przepustu stalowego kruszywem naturalnym 0/31,5 wraz z pozyskaniem kruszywa i zagęszczeniem (I</t>
    </r>
    <r>
      <rPr>
        <vertAlign val="subscript"/>
        <sz val="10"/>
        <rFont val="Times New Roman"/>
        <family val="1"/>
        <charset val="238"/>
      </rPr>
      <t>S</t>
    </r>
    <r>
      <rPr>
        <sz val="10"/>
        <rFont val="Times New Roman"/>
        <family val="1"/>
        <charset val="238"/>
      </rPr>
      <t>=1.00); [20,7m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/mb]</t>
    </r>
  </si>
  <si>
    <r>
      <t xml:space="preserve">Wykonanie powłok malarskich na wewnętrznej i zewnętrznej powierzchni konstrukcji stalowej; farba eposkydowa, grubość powłoki 250 </t>
    </r>
    <r>
      <rPr>
        <sz val="10"/>
        <rFont val="Symbol"/>
        <family val="1"/>
        <charset val="2"/>
      </rPr>
      <t>m</t>
    </r>
    <r>
      <rPr>
        <sz val="10"/>
        <rFont val="Times New Roman"/>
        <family val="1"/>
        <charset val="238"/>
      </rPr>
      <t>m</t>
    </r>
  </si>
  <si>
    <t>&gt; 2 × ½×(0,50+1,00)×(18,60+4,48+3,67)×0,80 =</t>
  </si>
  <si>
    <t>M.19.00.00</t>
  </si>
  <si>
    <r>
      <t>&gt; ok. 2,0 m</t>
    </r>
    <r>
      <rPr>
        <vertAlign val="superscript"/>
        <sz val="10"/>
        <rFont val="Times New Roman"/>
        <family val="1"/>
        <charset val="238"/>
      </rPr>
      <t>3</t>
    </r>
  </si>
  <si>
    <t>&gt; 0,1348+0,0480 =</t>
  </si>
  <si>
    <r>
      <t>&gt; 1,25 m</t>
    </r>
    <r>
      <rPr>
        <vertAlign val="superscript"/>
        <sz val="10"/>
        <rFont val="Times New Roman"/>
        <family val="1"/>
        <charset val="238"/>
      </rPr>
      <t>3</t>
    </r>
  </si>
  <si>
    <t>Rozbiórka istniejącego przepustu okularowego i budowa przepustu łukowego z dnem kamiennym wraz z rozbudową drogi leśnej i składnicy drewna</t>
  </si>
  <si>
    <t>24.1</t>
  </si>
  <si>
    <t>24.2</t>
  </si>
  <si>
    <t>24.4</t>
  </si>
  <si>
    <t>Montaż urządzeń zabezpieczających wody potoku przed zanieczyszczeniem (np. rękawy sorpcyjne)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</si>
</sst>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_-* #,##0.00\ [$€-1]_-;\-* #,##0.00\ [$€-1]_-;_-* &quot;-&quot;??\ [$€-1]_-"/>
  </numFmts>
  <fonts count="2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1"/>
      <name val="Arial"/>
      <family val="2"/>
      <charset val="238"/>
    </font>
    <font>
      <b/>
      <vertAlign val="superscript"/>
      <sz val="10"/>
      <name val="Times New Roman"/>
      <family val="1"/>
      <charset val="238"/>
    </font>
    <font>
      <b/>
      <sz val="10"/>
      <color rgb="FFC0000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Symbol"/>
      <family val="1"/>
      <charset val="2"/>
    </font>
    <font>
      <b/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7" fillId="0" borderId="0"/>
    <xf numFmtId="0" fontId="1" fillId="0" borderId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0" xfId="0" applyFont="1"/>
    <xf numFmtId="0" fontId="7" fillId="0" borderId="6" xfId="0" applyFont="1" applyBorder="1" applyAlignment="1">
      <alignment horizontal="center" vertical="top" wrapText="1"/>
    </xf>
    <xf numFmtId="2" fontId="7" fillId="0" borderId="0" xfId="0" applyNumberFormat="1" applyFont="1"/>
    <xf numFmtId="2" fontId="3" fillId="0" borderId="0" xfId="0" applyNumberFormat="1" applyFont="1" applyAlignment="1">
      <alignment horizontal="right"/>
    </xf>
    <xf numFmtId="0" fontId="12" fillId="0" borderId="0" xfId="0" applyFont="1"/>
    <xf numFmtId="0" fontId="3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164" fontId="7" fillId="0" borderId="5" xfId="0" applyNumberFormat="1" applyFont="1" applyBorder="1" applyAlignment="1">
      <alignment horizontal="center" vertical="top" wrapText="1"/>
    </xf>
    <xf numFmtId="2" fontId="3" fillId="0" borderId="0" xfId="0" applyNumberFormat="1" applyFont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/>
    </xf>
    <xf numFmtId="0" fontId="3" fillId="0" borderId="0" xfId="0" applyFont="1"/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1" fontId="3" fillId="0" borderId="8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wrapText="1"/>
    </xf>
    <xf numFmtId="0" fontId="7" fillId="0" borderId="9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top" wrapText="1"/>
    </xf>
    <xf numFmtId="2" fontId="3" fillId="0" borderId="0" xfId="1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4" fillId="0" borderId="0" xfId="1" applyFont="1" applyAlignment="1">
      <alignment horizontal="left" vertical="top"/>
    </xf>
    <xf numFmtId="1" fontId="3" fillId="0" borderId="8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horizontal="center" wrapText="1"/>
    </xf>
    <xf numFmtId="0" fontId="7" fillId="0" borderId="6" xfId="0" applyFont="1" applyBorder="1" applyAlignment="1">
      <alignment vertical="top" wrapText="1"/>
    </xf>
    <xf numFmtId="0" fontId="7" fillId="0" borderId="11" xfId="1" applyFont="1" applyBorder="1" applyAlignment="1">
      <alignment horizontal="center" vertical="top" wrapText="1"/>
    </xf>
    <xf numFmtId="1" fontId="7" fillId="0" borderId="6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16" fillId="0" borderId="0" xfId="0" applyNumberFormat="1" applyFont="1" applyAlignment="1">
      <alignment horizontal="right"/>
    </xf>
    <xf numFmtId="0" fontId="7" fillId="0" borderId="1" xfId="1" applyFont="1" applyBorder="1" applyAlignment="1">
      <alignment horizontal="center" vertical="top" wrapText="1"/>
    </xf>
    <xf numFmtId="1" fontId="7" fillId="0" borderId="5" xfId="0" applyNumberFormat="1" applyFont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2" fontId="2" fillId="0" borderId="0" xfId="0" applyNumberFormat="1" applyFont="1"/>
    <xf numFmtId="2" fontId="7" fillId="0" borderId="5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7" fillId="0" borderId="6" xfId="1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2" fontId="3" fillId="0" borderId="0" xfId="1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19" fillId="0" borderId="0" xfId="0" applyNumberFormat="1" applyFont="1" applyAlignment="1">
      <alignment horizontal="right"/>
    </xf>
    <xf numFmtId="44" fontId="7" fillId="0" borderId="0" xfId="5" applyFont="1" applyFill="1" applyBorder="1" applyAlignment="1"/>
    <xf numFmtId="2" fontId="3" fillId="0" borderId="8" xfId="0" applyNumberFormat="1" applyFont="1" applyBorder="1" applyAlignment="1">
      <alignment horizontal="center" vertical="top" wrapText="1"/>
    </xf>
    <xf numFmtId="2" fontId="15" fillId="0" borderId="0" xfId="0" applyNumberFormat="1" applyFont="1" applyAlignment="1">
      <alignment horizontal="right" vertical="top"/>
    </xf>
    <xf numFmtId="0" fontId="21" fillId="0" borderId="0" xfId="0" applyFont="1"/>
    <xf numFmtId="2" fontId="20" fillId="0" borderId="0" xfId="1" applyNumberFormat="1" applyFont="1" applyAlignment="1">
      <alignment horizontal="right" vertical="top"/>
    </xf>
    <xf numFmtId="0" fontId="21" fillId="0" borderId="0" xfId="0" applyFont="1" applyAlignment="1">
      <alignment vertical="top"/>
    </xf>
    <xf numFmtId="44" fontId="20" fillId="0" borderId="0" xfId="5" applyFont="1" applyFill="1" applyBorder="1" applyAlignment="1">
      <alignment horizontal="right"/>
    </xf>
    <xf numFmtId="44" fontId="15" fillId="0" borderId="0" xfId="5" applyFont="1" applyFill="1" applyBorder="1" applyAlignment="1">
      <alignment horizontal="right"/>
    </xf>
    <xf numFmtId="2" fontId="22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2" fillId="0" borderId="0" xfId="0" applyFont="1"/>
    <xf numFmtId="2" fontId="23" fillId="0" borderId="0" xfId="0" applyNumberFormat="1" applyFont="1" applyAlignment="1">
      <alignment horizontal="right" vertical="top"/>
    </xf>
    <xf numFmtId="2" fontId="23" fillId="0" borderId="0" xfId="0" applyNumberFormat="1" applyFont="1"/>
    <xf numFmtId="2" fontId="22" fillId="0" borderId="0" xfId="0" applyNumberFormat="1" applyFont="1"/>
    <xf numFmtId="0" fontId="23" fillId="0" borderId="0" xfId="0" applyFont="1"/>
    <xf numFmtId="2" fontId="23" fillId="0" borderId="0" xfId="0" applyNumberFormat="1" applyFont="1" applyAlignment="1">
      <alignment vertical="center"/>
    </xf>
    <xf numFmtId="2" fontId="7" fillId="0" borderId="6" xfId="0" applyNumberFormat="1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vertical="top" wrapText="1"/>
    </xf>
    <xf numFmtId="164" fontId="3" fillId="2" borderId="8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" fontId="3" fillId="2" borderId="8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24" fillId="3" borderId="6" xfId="0" applyFont="1" applyFill="1" applyBorder="1" applyAlignment="1">
      <alignment horizontal="center" vertical="top" wrapText="1"/>
    </xf>
    <xf numFmtId="0" fontId="24" fillId="0" borderId="3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0" fontId="18" fillId="2" borderId="6" xfId="0" applyFont="1" applyFill="1" applyBorder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44" fontId="24" fillId="0" borderId="0" xfId="0" applyNumberFormat="1" applyFont="1" applyAlignment="1">
      <alignment horizontal="left"/>
    </xf>
    <xf numFmtId="0" fontId="7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wrapText="1"/>
    </xf>
    <xf numFmtId="0" fontId="7" fillId="0" borderId="6" xfId="0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0" fontId="7" fillId="0" borderId="4" xfId="0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top" wrapText="1"/>
    </xf>
    <xf numFmtId="1" fontId="7" fillId="0" borderId="11" xfId="0" applyNumberFormat="1" applyFont="1" applyBorder="1" applyAlignment="1">
      <alignment horizontal="center" vertical="top" wrapText="1"/>
    </xf>
    <xf numFmtId="0" fontId="26" fillId="0" borderId="1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1" fontId="7" fillId="2" borderId="6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center" vertical="top" wrapText="1"/>
    </xf>
    <xf numFmtId="164" fontId="7" fillId="2" borderId="8" xfId="0" applyNumberFormat="1" applyFont="1" applyFill="1" applyBorder="1" applyAlignment="1">
      <alignment horizontal="center" vertical="top" wrapText="1"/>
    </xf>
    <xf numFmtId="164" fontId="7" fillId="2" borderId="6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</cellXfs>
  <cellStyles count="6">
    <cellStyle name="Euro" xfId="2" xr:uid="{00000000-0005-0000-0000-000000000000}"/>
    <cellStyle name="Normalny" xfId="0" builtinId="0"/>
    <cellStyle name="Normalny 2" xfId="3" xr:uid="{00000000-0005-0000-0000-000002000000}"/>
    <cellStyle name="Normalny 3" xfId="4" xr:uid="{00000000-0005-0000-0000-000003000000}"/>
    <cellStyle name="Normalny_Wzór tabeli" xfId="1" xr:uid="{00000000-0005-0000-0000-000004000000}"/>
    <cellStyle name="Walutowy" xfId="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97"/>
  <sheetViews>
    <sheetView showGridLines="0" tabSelected="1" view="pageBreakPreview" topLeftCell="A168" zoomScaleNormal="100" zoomScaleSheetLayoutView="100" workbookViewId="0">
      <selection activeCell="H189" sqref="H189"/>
    </sheetView>
  </sheetViews>
  <sheetFormatPr defaultRowHeight="12.75" x14ac:dyDescent="0.2"/>
  <cols>
    <col min="1" max="1" width="4.7109375" style="68" customWidth="1"/>
    <col min="2" max="2" width="10.7109375" style="58" customWidth="1"/>
    <col min="3" max="3" width="52.7109375" style="59" customWidth="1"/>
    <col min="4" max="5" width="6.7109375" style="58" customWidth="1"/>
    <col min="6" max="6" width="8.7109375" style="58" customWidth="1"/>
    <col min="7" max="7" width="12.7109375" style="96" customWidth="1"/>
    <col min="8" max="8" width="12.7109375" style="27" customWidth="1"/>
    <col min="9" max="9" width="12.7109375" style="2" customWidth="1"/>
    <col min="10" max="10" width="25.7109375" style="15" customWidth="1"/>
    <col min="11" max="11" width="20.7109375" style="27" customWidth="1"/>
    <col min="12" max="12" width="14.7109375" style="27" customWidth="1"/>
    <col min="13" max="16384" width="9.140625" style="27"/>
  </cols>
  <sheetData>
    <row r="1" spans="1:12" s="1" customFormat="1" ht="37.5" customHeight="1" x14ac:dyDescent="0.2">
      <c r="A1" s="147" t="s">
        <v>215</v>
      </c>
      <c r="B1" s="147"/>
      <c r="C1" s="147"/>
      <c r="D1" s="147"/>
      <c r="E1" s="147"/>
      <c r="F1" s="147"/>
      <c r="G1" s="90"/>
      <c r="I1" s="2"/>
      <c r="J1" s="3"/>
    </row>
    <row r="2" spans="1:12" s="1" customFormat="1" ht="24.6" customHeight="1" x14ac:dyDescent="0.3">
      <c r="A2" s="148" t="s">
        <v>0</v>
      </c>
      <c r="B2" s="149"/>
      <c r="C2" s="149"/>
      <c r="D2" s="149"/>
      <c r="E2" s="149"/>
      <c r="F2" s="149"/>
      <c r="G2" s="90"/>
      <c r="I2" s="2"/>
      <c r="J2" s="3"/>
    </row>
    <row r="3" spans="1:12" s="76" customFormat="1" ht="36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63</v>
      </c>
      <c r="F3" s="4" t="s">
        <v>5</v>
      </c>
      <c r="G3" s="91"/>
      <c r="I3" s="68"/>
      <c r="K3" s="71"/>
    </row>
    <row r="4" spans="1:12" s="7" customFormat="1" ht="15.75" x14ac:dyDescent="0.25">
      <c r="A4" s="144" t="s">
        <v>9</v>
      </c>
      <c r="B4" s="145"/>
      <c r="C4" s="145"/>
      <c r="D4" s="145"/>
      <c r="E4" s="145"/>
      <c r="F4" s="146"/>
      <c r="G4" s="92"/>
      <c r="I4" s="8"/>
      <c r="J4" s="9"/>
    </row>
    <row r="5" spans="1:12" s="7" customFormat="1" ht="15.75" customHeight="1" x14ac:dyDescent="0.25">
      <c r="A5" s="138" t="s">
        <v>180</v>
      </c>
      <c r="B5" s="139"/>
      <c r="C5" s="139"/>
      <c r="D5" s="139"/>
      <c r="E5" s="139"/>
      <c r="F5" s="140"/>
      <c r="G5" s="92"/>
      <c r="I5" s="8"/>
      <c r="J5" s="9"/>
    </row>
    <row r="6" spans="1:12" s="6" customFormat="1" ht="25.5" x14ac:dyDescent="0.2">
      <c r="A6" s="16">
        <v>1</v>
      </c>
      <c r="B6" s="16" t="s">
        <v>174</v>
      </c>
      <c r="C6" s="122" t="s">
        <v>149</v>
      </c>
      <c r="D6" s="123" t="s">
        <v>39</v>
      </c>
      <c r="E6" s="124"/>
      <c r="F6" s="125">
        <f>SUM(E6:E8)</f>
        <v>0.183</v>
      </c>
      <c r="G6" s="89"/>
      <c r="H6" s="81"/>
      <c r="I6" s="88"/>
      <c r="K6" s="74"/>
      <c r="L6" s="88"/>
    </row>
    <row r="7" spans="1:12" ht="38.25" x14ac:dyDescent="0.2">
      <c r="A7" s="20"/>
      <c r="B7" s="21"/>
      <c r="C7" s="22" t="s">
        <v>184</v>
      </c>
      <c r="D7" s="126"/>
      <c r="E7" s="127"/>
      <c r="F7" s="23"/>
      <c r="G7" s="93"/>
      <c r="H7" s="25"/>
      <c r="I7" s="24"/>
      <c r="J7" s="26"/>
    </row>
    <row r="8" spans="1:12" x14ac:dyDescent="0.2">
      <c r="A8" s="28"/>
      <c r="B8" s="128"/>
      <c r="C8" s="133" t="s">
        <v>213</v>
      </c>
      <c r="D8" s="32" t="s">
        <v>39</v>
      </c>
      <c r="E8" s="129">
        <f>0.135+0.048</f>
        <v>0.183</v>
      </c>
      <c r="F8" s="31"/>
      <c r="G8" s="94"/>
      <c r="H8" s="6"/>
    </row>
    <row r="9" spans="1:12" s="6" customFormat="1" ht="15.75" x14ac:dyDescent="0.2">
      <c r="A9" s="16">
        <f>A6+1</f>
        <v>2</v>
      </c>
      <c r="B9" s="16" t="s">
        <v>95</v>
      </c>
      <c r="C9" s="51" t="s">
        <v>98</v>
      </c>
      <c r="D9" s="36" t="s">
        <v>12</v>
      </c>
      <c r="E9" s="16"/>
      <c r="F9" s="53">
        <f>SUM(E9:E11)</f>
        <v>150</v>
      </c>
      <c r="G9" s="95"/>
      <c r="H9" s="81"/>
      <c r="I9" s="88"/>
    </row>
    <row r="10" spans="1:12" s="6" customFormat="1" x14ac:dyDescent="0.2">
      <c r="A10" s="10"/>
      <c r="B10" s="10"/>
      <c r="C10" s="22" t="s">
        <v>101</v>
      </c>
      <c r="D10" s="36"/>
      <c r="E10" s="10"/>
      <c r="F10" s="23"/>
      <c r="G10" s="92"/>
      <c r="I10" s="2"/>
      <c r="J10" s="15"/>
      <c r="K10" s="76"/>
    </row>
    <row r="11" spans="1:12" ht="15.75" x14ac:dyDescent="0.2">
      <c r="A11" s="28"/>
      <c r="B11" s="28"/>
      <c r="C11" s="133" t="s">
        <v>99</v>
      </c>
      <c r="D11" s="28" t="s">
        <v>13</v>
      </c>
      <c r="E11" s="30">
        <v>150</v>
      </c>
      <c r="F11" s="28"/>
      <c r="G11" s="94"/>
      <c r="H11" s="6"/>
    </row>
    <row r="12" spans="1:12" s="6" customFormat="1" x14ac:dyDescent="0.2">
      <c r="A12" s="16">
        <f>A9+1</f>
        <v>3</v>
      </c>
      <c r="B12" s="16" t="s">
        <v>179</v>
      </c>
      <c r="C12" s="51" t="s">
        <v>96</v>
      </c>
      <c r="D12" s="36" t="s">
        <v>18</v>
      </c>
      <c r="E12" s="16"/>
      <c r="F12" s="53">
        <f>SUM(E12:E14)</f>
        <v>15</v>
      </c>
      <c r="G12" s="95"/>
      <c r="H12" s="81"/>
      <c r="I12" s="88"/>
    </row>
    <row r="13" spans="1:12" s="6" customFormat="1" ht="25.5" x14ac:dyDescent="0.2">
      <c r="A13" s="10"/>
      <c r="B13" s="10"/>
      <c r="C13" s="22" t="s">
        <v>181</v>
      </c>
      <c r="D13" s="36"/>
      <c r="E13" s="10"/>
      <c r="F13" s="23"/>
      <c r="G13" s="92"/>
      <c r="I13" s="2"/>
      <c r="J13" s="15"/>
      <c r="K13" s="76"/>
    </row>
    <row r="14" spans="1:12" x14ac:dyDescent="0.2">
      <c r="A14" s="28"/>
      <c r="B14" s="28"/>
      <c r="C14" s="133" t="s">
        <v>97</v>
      </c>
      <c r="D14" s="28" t="s">
        <v>18</v>
      </c>
      <c r="E14" s="30">
        <v>15</v>
      </c>
      <c r="F14" s="28"/>
      <c r="G14" s="94"/>
      <c r="H14" s="6"/>
    </row>
    <row r="15" spans="1:12" s="6" customFormat="1" ht="15.75" x14ac:dyDescent="0.2">
      <c r="A15" s="16">
        <f>A12+1</f>
        <v>4</v>
      </c>
      <c r="B15" s="16" t="s">
        <v>10</v>
      </c>
      <c r="C15" s="51" t="s">
        <v>11</v>
      </c>
      <c r="D15" s="10" t="s">
        <v>12</v>
      </c>
      <c r="E15" s="16"/>
      <c r="F15" s="53">
        <f>SUM(E15:E17)</f>
        <v>250</v>
      </c>
      <c r="G15" s="95"/>
      <c r="H15" s="81"/>
      <c r="I15" s="88"/>
    </row>
    <row r="16" spans="1:12" s="6" customFormat="1" ht="25.5" x14ac:dyDescent="0.2">
      <c r="A16" s="10"/>
      <c r="B16" s="10"/>
      <c r="C16" s="22" t="s">
        <v>102</v>
      </c>
      <c r="D16" s="36"/>
      <c r="E16" s="10"/>
      <c r="F16" s="23"/>
      <c r="G16" s="92"/>
      <c r="I16" s="2"/>
      <c r="J16" s="15"/>
      <c r="K16" s="73"/>
    </row>
    <row r="17" spans="1:11" ht="15.75" x14ac:dyDescent="0.2">
      <c r="A17" s="28"/>
      <c r="B17" s="63"/>
      <c r="C17" s="133" t="s">
        <v>100</v>
      </c>
      <c r="D17" s="28" t="s">
        <v>13</v>
      </c>
      <c r="E17" s="30">
        <v>250</v>
      </c>
      <c r="F17" s="35"/>
      <c r="H17" s="6"/>
      <c r="I17" s="37"/>
    </row>
    <row r="18" spans="1:11" x14ac:dyDescent="0.2">
      <c r="A18" s="55"/>
      <c r="B18" s="55"/>
      <c r="C18" s="56"/>
      <c r="D18" s="55"/>
      <c r="E18" s="57"/>
      <c r="F18" s="55"/>
      <c r="G18" s="94"/>
      <c r="H18" s="6"/>
    </row>
    <row r="19" spans="1:11" x14ac:dyDescent="0.2">
      <c r="A19" s="58"/>
      <c r="E19" s="60"/>
      <c r="G19" s="94"/>
      <c r="H19" s="6"/>
    </row>
    <row r="20" spans="1:11" hidden="1" x14ac:dyDescent="0.2">
      <c r="A20" s="58"/>
      <c r="E20" s="60"/>
      <c r="G20" s="94"/>
      <c r="H20" s="6"/>
    </row>
    <row r="21" spans="1:11" hidden="1" x14ac:dyDescent="0.2">
      <c r="A21" s="58"/>
      <c r="E21" s="60"/>
      <c r="G21" s="94"/>
      <c r="H21" s="6"/>
    </row>
    <row r="22" spans="1:11" hidden="1" x14ac:dyDescent="0.2">
      <c r="A22" s="58"/>
      <c r="E22" s="60"/>
      <c r="G22" s="94"/>
      <c r="H22" s="6"/>
    </row>
    <row r="23" spans="1:11" x14ac:dyDescent="0.2">
      <c r="A23" s="58"/>
      <c r="E23" s="60"/>
      <c r="G23" s="94"/>
      <c r="H23" s="6"/>
    </row>
    <row r="24" spans="1:11" s="7" customFormat="1" ht="15.75" x14ac:dyDescent="0.25">
      <c r="A24" s="141" t="s">
        <v>6</v>
      </c>
      <c r="B24" s="142"/>
      <c r="C24" s="142"/>
      <c r="D24" s="142"/>
      <c r="E24" s="142"/>
      <c r="F24" s="143"/>
      <c r="G24" s="92"/>
      <c r="I24" s="8"/>
      <c r="J24" s="9"/>
    </row>
    <row r="25" spans="1:11" s="7" customFormat="1" ht="15.75" customHeight="1" x14ac:dyDescent="0.25">
      <c r="A25" s="138" t="s">
        <v>7</v>
      </c>
      <c r="B25" s="139"/>
      <c r="C25" s="139"/>
      <c r="D25" s="139"/>
      <c r="E25" s="139"/>
      <c r="F25" s="140"/>
      <c r="G25" s="92"/>
      <c r="I25" s="8"/>
      <c r="J25" s="9"/>
    </row>
    <row r="26" spans="1:11" s="6" customFormat="1" x14ac:dyDescent="0.2">
      <c r="A26" s="10"/>
      <c r="B26" s="11" t="s">
        <v>8</v>
      </c>
      <c r="C26" s="12" t="s">
        <v>148</v>
      </c>
      <c r="D26" s="13"/>
      <c r="E26" s="13"/>
      <c r="F26" s="14"/>
      <c r="G26" s="92"/>
      <c r="I26" s="2"/>
      <c r="J26" s="15"/>
    </row>
    <row r="27" spans="1:11" s="6" customFormat="1" x14ac:dyDescent="0.2">
      <c r="A27" s="4">
        <f>A15+1</f>
        <v>5</v>
      </c>
      <c r="B27" s="4" t="s">
        <v>150</v>
      </c>
      <c r="C27" s="61" t="s">
        <v>151</v>
      </c>
      <c r="D27" s="65"/>
      <c r="E27" s="4"/>
      <c r="F27" s="62"/>
      <c r="G27" s="95"/>
      <c r="H27" s="17"/>
      <c r="I27" s="18"/>
      <c r="J27" s="15"/>
    </row>
    <row r="28" spans="1:11" s="6" customFormat="1" ht="15.75" x14ac:dyDescent="0.2">
      <c r="A28" s="20" t="str">
        <f>CONCATENATE(A$27,".1")</f>
        <v>5.1</v>
      </c>
      <c r="B28" s="16"/>
      <c r="C28" s="51" t="s">
        <v>152</v>
      </c>
      <c r="D28" s="52" t="s">
        <v>16</v>
      </c>
      <c r="E28" s="16"/>
      <c r="F28" s="67">
        <f>SUM(E28:E32)</f>
        <v>38.340000000000003</v>
      </c>
      <c r="G28" s="95"/>
      <c r="H28" s="81"/>
      <c r="I28" s="88"/>
    </row>
    <row r="29" spans="1:11" ht="38.25" x14ac:dyDescent="0.2">
      <c r="A29" s="20"/>
      <c r="B29" s="10"/>
      <c r="C29" s="22" t="s">
        <v>153</v>
      </c>
      <c r="D29" s="20"/>
      <c r="E29" s="43"/>
      <c r="F29" s="20"/>
      <c r="G29" s="94"/>
      <c r="H29" s="6"/>
      <c r="I29" s="37"/>
      <c r="J29" s="39"/>
      <c r="K29" s="73"/>
    </row>
    <row r="30" spans="1:11" ht="15.75" x14ac:dyDescent="0.2">
      <c r="A30" s="41"/>
      <c r="B30" s="42"/>
      <c r="C30" s="135" t="s">
        <v>65</v>
      </c>
      <c r="D30" s="41" t="s">
        <v>17</v>
      </c>
      <c r="E30" s="43">
        <f>0.8*2.5*7.2</f>
        <v>14.4</v>
      </c>
      <c r="F30" s="20"/>
      <c r="H30" s="6"/>
    </row>
    <row r="31" spans="1:11" ht="15.75" x14ac:dyDescent="0.2">
      <c r="A31" s="41"/>
      <c r="B31" s="42"/>
      <c r="C31" s="135" t="s">
        <v>67</v>
      </c>
      <c r="D31" s="41" t="s">
        <v>17</v>
      </c>
      <c r="E31" s="43">
        <f>0.6*1.5*5</f>
        <v>4.5</v>
      </c>
      <c r="F31" s="20"/>
      <c r="H31" s="6"/>
    </row>
    <row r="32" spans="1:11" ht="15.75" x14ac:dyDescent="0.2">
      <c r="A32" s="45"/>
      <c r="B32" s="46"/>
      <c r="C32" s="134" t="s">
        <v>66</v>
      </c>
      <c r="D32" s="32" t="s">
        <v>17</v>
      </c>
      <c r="E32" s="121">
        <f>0.8*2.7*9</f>
        <v>19.440000000000001</v>
      </c>
      <c r="F32" s="28"/>
      <c r="H32" s="6"/>
    </row>
    <row r="33" spans="1:13" s="6" customFormat="1" x14ac:dyDescent="0.2">
      <c r="A33" s="20" t="str">
        <f>CONCATENATE(A$27,".2")</f>
        <v>5.2</v>
      </c>
      <c r="B33" s="10"/>
      <c r="C33" s="51" t="s">
        <v>154</v>
      </c>
      <c r="D33" s="75" t="s">
        <v>15</v>
      </c>
      <c r="E33" s="10"/>
      <c r="F33" s="23">
        <f>SUM(E33:E35)</f>
        <v>36</v>
      </c>
      <c r="G33" s="95"/>
      <c r="H33" s="81"/>
      <c r="I33" s="88"/>
    </row>
    <row r="34" spans="1:13" ht="25.5" x14ac:dyDescent="0.2">
      <c r="A34" s="20"/>
      <c r="B34" s="10"/>
      <c r="C34" s="22" t="s">
        <v>76</v>
      </c>
      <c r="D34" s="20"/>
      <c r="E34" s="43"/>
      <c r="F34" s="20"/>
      <c r="G34" s="94"/>
      <c r="H34" s="6"/>
      <c r="K34" s="73"/>
    </row>
    <row r="35" spans="1:13" x14ac:dyDescent="0.2">
      <c r="A35" s="28"/>
      <c r="B35" s="31"/>
      <c r="C35" s="29" t="s">
        <v>68</v>
      </c>
      <c r="D35" s="28" t="s">
        <v>15</v>
      </c>
      <c r="E35" s="35">
        <f>2*18</f>
        <v>36</v>
      </c>
      <c r="F35" s="28"/>
      <c r="G35" s="94"/>
      <c r="H35" s="6"/>
    </row>
    <row r="36" spans="1:13" s="6" customFormat="1" x14ac:dyDescent="0.2">
      <c r="A36" s="10"/>
      <c r="B36" s="11" t="s">
        <v>19</v>
      </c>
      <c r="C36" s="12" t="s">
        <v>20</v>
      </c>
      <c r="D36" s="13"/>
      <c r="E36" s="13"/>
      <c r="F36" s="14"/>
      <c r="G36" s="92"/>
      <c r="I36" s="2"/>
      <c r="J36" s="15"/>
    </row>
    <row r="37" spans="1:13" s="6" customFormat="1" ht="15.75" x14ac:dyDescent="0.2">
      <c r="A37" s="16">
        <f>A27+1</f>
        <v>6</v>
      </c>
      <c r="B37" s="16" t="s">
        <v>69</v>
      </c>
      <c r="C37" s="51" t="s">
        <v>70</v>
      </c>
      <c r="D37" s="52" t="s">
        <v>16</v>
      </c>
      <c r="E37" s="16"/>
      <c r="F37" s="53">
        <f>SUM(E37:E39)</f>
        <v>518.63760000000002</v>
      </c>
      <c r="G37" s="89"/>
      <c r="H37" s="81"/>
      <c r="I37" s="88"/>
    </row>
    <row r="38" spans="1:13" ht="38.25" x14ac:dyDescent="0.2">
      <c r="A38" s="20"/>
      <c r="B38" s="10"/>
      <c r="C38" s="22" t="s">
        <v>155</v>
      </c>
      <c r="D38" s="20"/>
      <c r="E38" s="43"/>
      <c r="F38" s="20"/>
      <c r="G38" s="93"/>
      <c r="H38" s="25"/>
      <c r="I38" s="37"/>
      <c r="J38" s="39"/>
      <c r="K38" s="76"/>
      <c r="L38" s="74"/>
      <c r="M38" s="74"/>
    </row>
    <row r="39" spans="1:13" ht="15.75" x14ac:dyDescent="0.2">
      <c r="A39" s="28"/>
      <c r="B39" s="31"/>
      <c r="C39" s="133" t="s">
        <v>196</v>
      </c>
      <c r="D39" s="32" t="s">
        <v>17</v>
      </c>
      <c r="E39" s="30">
        <f>0.5*(7.6+15)*18*3-2*3.14/4*1.8^2*18</f>
        <v>518.63760000000002</v>
      </c>
      <c r="F39" s="28"/>
      <c r="G39" s="94"/>
      <c r="H39" s="6"/>
    </row>
    <row r="40" spans="1:13" s="6" customFormat="1" ht="15.75" x14ac:dyDescent="0.2">
      <c r="A40" s="16">
        <f>A37+1</f>
        <v>7</v>
      </c>
      <c r="B40" s="16" t="s">
        <v>21</v>
      </c>
      <c r="C40" s="51" t="s">
        <v>22</v>
      </c>
      <c r="D40" s="52" t="s">
        <v>16</v>
      </c>
      <c r="E40" s="16"/>
      <c r="F40" s="53">
        <f>SUM(E40:E42)</f>
        <v>31.860000000000003</v>
      </c>
      <c r="G40" s="95"/>
      <c r="H40" s="81"/>
      <c r="I40" s="88"/>
    </row>
    <row r="41" spans="1:13" ht="38.25" x14ac:dyDescent="0.2">
      <c r="A41" s="20"/>
      <c r="B41" s="10"/>
      <c r="C41" s="22" t="s">
        <v>156</v>
      </c>
      <c r="D41" s="20"/>
      <c r="E41" s="43"/>
      <c r="F41" s="20"/>
      <c r="G41" s="94"/>
      <c r="H41" s="6"/>
      <c r="K41" s="76"/>
    </row>
    <row r="42" spans="1:13" ht="15.75" x14ac:dyDescent="0.2">
      <c r="A42" s="28"/>
      <c r="B42" s="50"/>
      <c r="C42" s="133" t="s">
        <v>210</v>
      </c>
      <c r="D42" s="32" t="s">
        <v>17</v>
      </c>
      <c r="E42" s="30">
        <f>2*0.5*(0.5+1)*(18.6+4.28+3.67)*0.8</f>
        <v>31.860000000000003</v>
      </c>
      <c r="F42" s="32"/>
      <c r="G42" s="94"/>
      <c r="H42" s="6"/>
      <c r="K42" s="19"/>
    </row>
    <row r="43" spans="1:13" s="6" customFormat="1" ht="15.75" x14ac:dyDescent="0.2">
      <c r="A43" s="16">
        <f>A40+1</f>
        <v>8</v>
      </c>
      <c r="B43" s="16" t="s">
        <v>177</v>
      </c>
      <c r="C43" s="51" t="s">
        <v>120</v>
      </c>
      <c r="D43" s="52" t="s">
        <v>16</v>
      </c>
      <c r="E43" s="16"/>
      <c r="F43" s="67">
        <f>SUM(E43:E45)</f>
        <v>6.8807999999999998</v>
      </c>
      <c r="G43" s="95"/>
      <c r="H43" s="81"/>
      <c r="I43" s="88"/>
    </row>
    <row r="44" spans="1:13" s="6" customFormat="1" ht="25.5" x14ac:dyDescent="0.2">
      <c r="A44" s="42"/>
      <c r="B44" s="10"/>
      <c r="C44" s="22" t="s">
        <v>178</v>
      </c>
      <c r="D44" s="36"/>
      <c r="E44" s="10"/>
      <c r="F44" s="23"/>
      <c r="G44" s="92"/>
      <c r="I44" s="2"/>
      <c r="J44" s="15"/>
    </row>
    <row r="45" spans="1:13" ht="15.75" x14ac:dyDescent="0.2">
      <c r="A45" s="45"/>
      <c r="B45" s="31"/>
      <c r="C45" s="133" t="s">
        <v>119</v>
      </c>
      <c r="D45" s="28" t="s">
        <v>17</v>
      </c>
      <c r="E45" s="35">
        <f>2*(1.2*4.5+1.2*18.65+1.8*3.68)*0.1</f>
        <v>6.8807999999999998</v>
      </c>
      <c r="F45" s="28"/>
      <c r="H45" s="6"/>
    </row>
    <row r="46" spans="1:13" s="6" customFormat="1" x14ac:dyDescent="0.2">
      <c r="A46" s="4">
        <f>A43+1</f>
        <v>9</v>
      </c>
      <c r="B46" s="4" t="s">
        <v>167</v>
      </c>
      <c r="C46" s="61" t="s">
        <v>168</v>
      </c>
      <c r="D46" s="65"/>
      <c r="E46" s="4"/>
      <c r="F46" s="62"/>
      <c r="G46" s="95"/>
      <c r="H46" s="17"/>
      <c r="I46" s="18"/>
      <c r="J46" s="15"/>
    </row>
    <row r="47" spans="1:13" s="6" customFormat="1" x14ac:dyDescent="0.2">
      <c r="A47" s="20" t="str">
        <f>CONCATENATE(A$46,".1")</f>
        <v>9.1</v>
      </c>
      <c r="B47" s="10"/>
      <c r="C47" s="54" t="s">
        <v>105</v>
      </c>
      <c r="D47" s="36" t="s">
        <v>106</v>
      </c>
      <c r="E47" s="10"/>
      <c r="F47" s="66">
        <f>SUM(E47:E49)</f>
        <v>804</v>
      </c>
      <c r="G47" s="95"/>
      <c r="H47" s="81"/>
      <c r="I47" s="88"/>
    </row>
    <row r="48" spans="1:13" s="6" customFormat="1" x14ac:dyDescent="0.2">
      <c r="A48" s="10"/>
      <c r="B48" s="10"/>
      <c r="C48" s="22" t="s">
        <v>107</v>
      </c>
      <c r="D48" s="36"/>
      <c r="E48" s="10"/>
      <c r="F48" s="23"/>
      <c r="G48" s="92"/>
      <c r="I48" s="37"/>
      <c r="J48" s="26"/>
    </row>
    <row r="49" spans="1:11" x14ac:dyDescent="0.2">
      <c r="A49" s="28"/>
      <c r="B49" s="28"/>
      <c r="C49" s="133" t="s">
        <v>108</v>
      </c>
      <c r="D49" s="28" t="s">
        <v>106</v>
      </c>
      <c r="E49" s="40">
        <v>804</v>
      </c>
      <c r="F49" s="28"/>
      <c r="G49" s="94"/>
      <c r="H49" s="6"/>
    </row>
    <row r="50" spans="1:11" s="6" customFormat="1" x14ac:dyDescent="0.2">
      <c r="A50" s="116" t="str">
        <f>CONCATENATE(A$46,".2")</f>
        <v>9.2</v>
      </c>
      <c r="B50" s="16"/>
      <c r="C50" s="54" t="s">
        <v>109</v>
      </c>
      <c r="D50" s="75" t="s">
        <v>18</v>
      </c>
      <c r="E50" s="16"/>
      <c r="F50" s="53">
        <f>SUM(E50:E52)</f>
        <v>144</v>
      </c>
      <c r="G50" s="95"/>
      <c r="H50" s="81"/>
      <c r="I50" s="88"/>
    </row>
    <row r="51" spans="1:11" ht="25.5" x14ac:dyDescent="0.2">
      <c r="A51" s="10"/>
      <c r="B51" s="10"/>
      <c r="C51" s="22" t="s">
        <v>110</v>
      </c>
      <c r="D51" s="20"/>
      <c r="E51" s="43"/>
      <c r="F51" s="20"/>
      <c r="G51" s="94"/>
      <c r="H51" s="6"/>
      <c r="I51" s="37"/>
      <c r="J51" s="2"/>
      <c r="K51" s="76"/>
    </row>
    <row r="52" spans="1:11" x14ac:dyDescent="0.2">
      <c r="A52" s="28"/>
      <c r="B52" s="28"/>
      <c r="C52" s="133" t="s">
        <v>104</v>
      </c>
      <c r="D52" s="28" t="s">
        <v>18</v>
      </c>
      <c r="E52" s="40">
        <f>2*(36+36)</f>
        <v>144</v>
      </c>
      <c r="F52" s="28"/>
      <c r="G52" s="94"/>
      <c r="H52" s="6"/>
    </row>
    <row r="53" spans="1:11" s="6" customFormat="1" x14ac:dyDescent="0.2">
      <c r="A53" s="4"/>
      <c r="B53" s="47" t="s">
        <v>24</v>
      </c>
      <c r="C53" s="48" t="s">
        <v>25</v>
      </c>
      <c r="D53" s="49"/>
      <c r="E53" s="49"/>
      <c r="F53" s="33"/>
      <c r="G53" s="92"/>
      <c r="I53" s="2"/>
      <c r="J53" s="15"/>
    </row>
    <row r="54" spans="1:11" s="6" customFormat="1" x14ac:dyDescent="0.2">
      <c r="A54" s="4">
        <f>A46+1</f>
        <v>10</v>
      </c>
      <c r="B54" s="4" t="s">
        <v>175</v>
      </c>
      <c r="C54" s="61" t="s">
        <v>176</v>
      </c>
      <c r="D54" s="65"/>
      <c r="E54" s="4"/>
      <c r="F54" s="62"/>
      <c r="G54" s="95"/>
      <c r="H54" s="17"/>
      <c r="I54" s="18"/>
      <c r="J54" s="15"/>
    </row>
    <row r="55" spans="1:11" s="6" customFormat="1" x14ac:dyDescent="0.2">
      <c r="A55" s="20" t="str">
        <f>CONCATENATE(A$54,".1")</f>
        <v>10.1</v>
      </c>
      <c r="B55" s="10"/>
      <c r="C55" s="54" t="s">
        <v>71</v>
      </c>
      <c r="D55" s="120" t="s">
        <v>106</v>
      </c>
      <c r="E55" s="70"/>
      <c r="F55" s="53">
        <f>SUM(E55:E57)</f>
        <v>4394</v>
      </c>
      <c r="G55" s="95"/>
      <c r="H55" s="81"/>
      <c r="I55" s="88"/>
    </row>
    <row r="56" spans="1:11" s="6" customFormat="1" x14ac:dyDescent="0.2">
      <c r="A56" s="42"/>
      <c r="B56" s="10"/>
      <c r="C56" s="22" t="s">
        <v>127</v>
      </c>
      <c r="D56" s="36"/>
      <c r="E56" s="10"/>
      <c r="F56" s="23"/>
      <c r="G56" s="92"/>
      <c r="I56" s="24"/>
      <c r="J56" s="15"/>
      <c r="K56" s="76"/>
    </row>
    <row r="57" spans="1:11" x14ac:dyDescent="0.2">
      <c r="A57" s="28"/>
      <c r="B57" s="31"/>
      <c r="C57" s="133" t="s">
        <v>129</v>
      </c>
      <c r="D57" s="28" t="s">
        <v>106</v>
      </c>
      <c r="E57" s="40">
        <v>4394</v>
      </c>
      <c r="F57" s="82"/>
      <c r="G57" s="94"/>
      <c r="H57" s="6"/>
      <c r="I57" s="24"/>
    </row>
    <row r="58" spans="1:11" s="6" customFormat="1" x14ac:dyDescent="0.2">
      <c r="A58" s="20" t="str">
        <f>CONCATENATE(A$54,".2")</f>
        <v>10.2</v>
      </c>
      <c r="B58" s="10"/>
      <c r="C58" s="54" t="s">
        <v>72</v>
      </c>
      <c r="D58" s="120" t="s">
        <v>106</v>
      </c>
      <c r="E58" s="10"/>
      <c r="F58" s="53">
        <f>SUM(E58:E60)</f>
        <v>259</v>
      </c>
      <c r="G58" s="95"/>
      <c r="H58" s="81"/>
      <c r="I58" s="88"/>
    </row>
    <row r="59" spans="1:11" s="6" customFormat="1" x14ac:dyDescent="0.2">
      <c r="A59" s="42"/>
      <c r="B59" s="10"/>
      <c r="C59" s="22" t="s">
        <v>128</v>
      </c>
      <c r="D59" s="36"/>
      <c r="E59" s="10"/>
      <c r="F59" s="23"/>
      <c r="G59" s="92"/>
      <c r="I59" s="24"/>
      <c r="J59" s="15"/>
      <c r="K59" s="76"/>
    </row>
    <row r="60" spans="1:11" x14ac:dyDescent="0.2">
      <c r="A60" s="28"/>
      <c r="B60" s="31"/>
      <c r="C60" s="133" t="s">
        <v>129</v>
      </c>
      <c r="D60" s="28" t="s">
        <v>106</v>
      </c>
      <c r="E60" s="40">
        <v>259</v>
      </c>
      <c r="F60" s="28"/>
      <c r="G60" s="94"/>
      <c r="H60" s="6"/>
      <c r="I60" s="24"/>
    </row>
    <row r="61" spans="1:11" s="6" customFormat="1" x14ac:dyDescent="0.2">
      <c r="A61" s="20" t="str">
        <f>CONCATENATE(A$54,".3")</f>
        <v>10.3</v>
      </c>
      <c r="B61" s="10"/>
      <c r="C61" s="54" t="s">
        <v>62</v>
      </c>
      <c r="D61" s="120" t="s">
        <v>106</v>
      </c>
      <c r="E61" s="10"/>
      <c r="F61" s="53">
        <f>SUM(E61:E63)</f>
        <v>382</v>
      </c>
      <c r="G61" s="95"/>
      <c r="H61" s="81"/>
      <c r="I61" s="88"/>
    </row>
    <row r="62" spans="1:11" s="6" customFormat="1" x14ac:dyDescent="0.2">
      <c r="A62" s="42"/>
      <c r="B62" s="10"/>
      <c r="C62" s="22" t="s">
        <v>130</v>
      </c>
      <c r="D62" s="36"/>
      <c r="E62" s="10"/>
      <c r="F62" s="23"/>
      <c r="G62" s="92"/>
      <c r="I62" s="24"/>
      <c r="J62" s="15"/>
      <c r="K62" s="76"/>
    </row>
    <row r="63" spans="1:11" x14ac:dyDescent="0.2">
      <c r="A63" s="28"/>
      <c r="B63" s="31"/>
      <c r="C63" s="133" t="s">
        <v>129</v>
      </c>
      <c r="D63" s="28" t="s">
        <v>106</v>
      </c>
      <c r="E63" s="40">
        <v>382</v>
      </c>
      <c r="F63" s="28"/>
      <c r="G63" s="94"/>
      <c r="H63" s="6"/>
    </row>
    <row r="64" spans="1:11" s="6" customFormat="1" x14ac:dyDescent="0.2">
      <c r="A64" s="4"/>
      <c r="B64" s="47" t="s">
        <v>26</v>
      </c>
      <c r="C64" s="48" t="s">
        <v>27</v>
      </c>
      <c r="D64" s="49"/>
      <c r="E64" s="49"/>
      <c r="F64" s="33"/>
      <c r="G64" s="92"/>
      <c r="I64" s="2"/>
      <c r="J64" s="15"/>
    </row>
    <row r="65" spans="1:11" s="6" customFormat="1" ht="15.75" x14ac:dyDescent="0.2">
      <c r="A65" s="16">
        <f>A54+1</f>
        <v>11</v>
      </c>
      <c r="B65" s="16" t="s">
        <v>28</v>
      </c>
      <c r="C65" s="51" t="s">
        <v>29</v>
      </c>
      <c r="D65" s="75" t="s">
        <v>16</v>
      </c>
      <c r="E65" s="16"/>
      <c r="F65" s="67">
        <f>SUM(E65:E67)</f>
        <v>66.055679999999981</v>
      </c>
      <c r="G65" s="95"/>
      <c r="H65" s="81"/>
      <c r="I65" s="88"/>
    </row>
    <row r="66" spans="1:11" s="6" customFormat="1" ht="38.25" x14ac:dyDescent="0.2">
      <c r="A66" s="42"/>
      <c r="B66" s="10"/>
      <c r="C66" s="22" t="s">
        <v>126</v>
      </c>
      <c r="D66" s="36"/>
      <c r="E66" s="10"/>
      <c r="F66" s="23"/>
      <c r="G66" s="92"/>
      <c r="I66" s="24"/>
      <c r="J66" s="15"/>
    </row>
    <row r="67" spans="1:11" ht="15.75" x14ac:dyDescent="0.2">
      <c r="A67" s="45"/>
      <c r="B67" s="31"/>
      <c r="C67" s="133" t="s">
        <v>118</v>
      </c>
      <c r="D67" s="28" t="s">
        <v>17</v>
      </c>
      <c r="E67" s="35">
        <f>2*(0.8*1.2*4.5+0.8*1.2*18.65+0.8*1.8*3.68)*120%</f>
        <v>66.055679999999981</v>
      </c>
      <c r="F67" s="28"/>
      <c r="H67" s="6"/>
      <c r="I67" s="18"/>
    </row>
    <row r="68" spans="1:11" s="6" customFormat="1" ht="15.75" x14ac:dyDescent="0.2">
      <c r="A68" s="16">
        <f>A65+1</f>
        <v>12</v>
      </c>
      <c r="B68" s="16" t="s">
        <v>60</v>
      </c>
      <c r="C68" s="51" t="s">
        <v>61</v>
      </c>
      <c r="D68" s="75" t="s">
        <v>16</v>
      </c>
      <c r="E68" s="16"/>
      <c r="F68" s="67">
        <f>SUM(E68:E71)</f>
        <v>7.8491759999999999</v>
      </c>
      <c r="G68" s="95"/>
      <c r="H68" s="81"/>
      <c r="I68" s="88"/>
    </row>
    <row r="69" spans="1:11" s="6" customFormat="1" x14ac:dyDescent="0.2">
      <c r="A69" s="42"/>
      <c r="B69" s="10"/>
      <c r="C69" s="22" t="s">
        <v>131</v>
      </c>
      <c r="D69" s="36"/>
      <c r="E69" s="10"/>
      <c r="F69" s="23"/>
      <c r="G69" s="92"/>
      <c r="I69" s="24"/>
      <c r="J69" s="15"/>
      <c r="K69" s="76"/>
    </row>
    <row r="70" spans="1:11" s="6" customFormat="1" ht="15.75" x14ac:dyDescent="0.2">
      <c r="A70" s="42"/>
      <c r="B70" s="10"/>
      <c r="C70" s="132" t="s">
        <v>75</v>
      </c>
      <c r="D70" s="44" t="s">
        <v>17</v>
      </c>
      <c r="E70" s="43">
        <f>(0.42*0.6+0.42*0.42)*8.14</f>
        <v>3.4871760000000003</v>
      </c>
      <c r="F70" s="23"/>
      <c r="G70" s="92"/>
      <c r="I70" s="18"/>
      <c r="J70" s="15"/>
    </row>
    <row r="71" spans="1:11" ht="15.75" x14ac:dyDescent="0.2">
      <c r="A71" s="45"/>
      <c r="B71" s="31"/>
      <c r="C71" s="133" t="s">
        <v>74</v>
      </c>
      <c r="D71" s="28" t="s">
        <v>17</v>
      </c>
      <c r="E71" s="35">
        <f>0.5*0.3*(15+7.26+2*3.41)</f>
        <v>4.3619999999999992</v>
      </c>
      <c r="F71" s="28"/>
      <c r="H71" s="6"/>
      <c r="I71" s="18"/>
    </row>
    <row r="72" spans="1:11" s="6" customFormat="1" x14ac:dyDescent="0.2">
      <c r="A72" s="4"/>
      <c r="B72" s="47" t="s">
        <v>111</v>
      </c>
      <c r="C72" s="48" t="s">
        <v>112</v>
      </c>
      <c r="D72" s="49"/>
      <c r="E72" s="49"/>
      <c r="F72" s="33"/>
      <c r="G72" s="92"/>
      <c r="I72" s="18"/>
      <c r="J72" s="15"/>
    </row>
    <row r="73" spans="1:11" s="6" customFormat="1" x14ac:dyDescent="0.2">
      <c r="A73" s="4">
        <f>A68+1</f>
        <v>13</v>
      </c>
      <c r="B73" s="4" t="s">
        <v>186</v>
      </c>
      <c r="C73" s="61" t="s">
        <v>187</v>
      </c>
      <c r="D73" s="65"/>
      <c r="E73" s="4"/>
      <c r="F73" s="62"/>
      <c r="G73" s="95"/>
      <c r="H73" s="17"/>
      <c r="I73" s="18"/>
      <c r="J73" s="15"/>
    </row>
    <row r="74" spans="1:11" s="6" customFormat="1" x14ac:dyDescent="0.2">
      <c r="A74" s="116" t="str">
        <f>CONCATENATE(A$73,".1")</f>
        <v>13.1</v>
      </c>
      <c r="B74" s="16"/>
      <c r="C74" s="51" t="s">
        <v>113</v>
      </c>
      <c r="D74" s="75" t="s">
        <v>14</v>
      </c>
      <c r="E74" s="16"/>
      <c r="F74" s="53">
        <f>SUM(E74:E76)</f>
        <v>1</v>
      </c>
      <c r="G74" s="95"/>
      <c r="H74" s="81"/>
      <c r="I74" s="87"/>
      <c r="J74" s="84"/>
    </row>
    <row r="75" spans="1:11" ht="38.25" x14ac:dyDescent="0.2">
      <c r="A75" s="10"/>
      <c r="B75" s="10"/>
      <c r="C75" s="22" t="s">
        <v>115</v>
      </c>
      <c r="D75" s="20"/>
      <c r="E75" s="43"/>
      <c r="F75" s="20"/>
      <c r="G75" s="94"/>
      <c r="H75" s="6"/>
      <c r="I75" s="37"/>
      <c r="J75" s="38"/>
      <c r="K75" s="76"/>
    </row>
    <row r="76" spans="1:11" x14ac:dyDescent="0.2">
      <c r="A76" s="28"/>
      <c r="B76" s="28"/>
      <c r="C76" s="29" t="s">
        <v>114</v>
      </c>
      <c r="D76" s="28" t="s">
        <v>14</v>
      </c>
      <c r="E76" s="40">
        <v>1</v>
      </c>
      <c r="F76" s="28"/>
      <c r="G76" s="94"/>
      <c r="H76" s="6"/>
      <c r="I76" s="80"/>
      <c r="J76" s="6"/>
      <c r="K76" s="6"/>
    </row>
    <row r="77" spans="1:11" s="6" customFormat="1" x14ac:dyDescent="0.2">
      <c r="A77" s="116" t="str">
        <f>CONCATENATE(A$73,".2")</f>
        <v>13.2</v>
      </c>
      <c r="B77" s="16"/>
      <c r="C77" s="51" t="s">
        <v>206</v>
      </c>
      <c r="D77" s="75" t="s">
        <v>14</v>
      </c>
      <c r="E77" s="16"/>
      <c r="F77" s="53">
        <f>SUM(E77:E79)</f>
        <v>1</v>
      </c>
      <c r="G77" s="95"/>
      <c r="H77" s="81"/>
      <c r="I77" s="87"/>
      <c r="J77" s="84"/>
      <c r="K77" s="76"/>
    </row>
    <row r="78" spans="1:11" ht="38.25" x14ac:dyDescent="0.2">
      <c r="A78" s="10"/>
      <c r="B78" s="10"/>
      <c r="C78" s="22" t="s">
        <v>209</v>
      </c>
      <c r="D78" s="20"/>
      <c r="E78" s="43"/>
      <c r="F78" s="20"/>
      <c r="G78" s="94"/>
      <c r="H78" s="6"/>
      <c r="I78" s="37"/>
      <c r="K78" s="74"/>
    </row>
    <row r="79" spans="1:11" x14ac:dyDescent="0.2">
      <c r="A79" s="28"/>
      <c r="B79" s="28"/>
      <c r="C79" s="29" t="s">
        <v>114</v>
      </c>
      <c r="D79" s="28" t="s">
        <v>14</v>
      </c>
      <c r="E79" s="40">
        <v>1</v>
      </c>
      <c r="F79" s="28"/>
      <c r="G79" s="94"/>
      <c r="H79" s="6"/>
      <c r="I79" s="80"/>
      <c r="J79" s="6"/>
      <c r="K79" s="6"/>
    </row>
    <row r="80" spans="1:11" s="6" customFormat="1" ht="15.75" x14ac:dyDescent="0.2">
      <c r="A80" s="116" t="str">
        <f>CONCATENATE(A$73,".3")</f>
        <v>13.3</v>
      </c>
      <c r="B80" s="16"/>
      <c r="C80" s="51" t="s">
        <v>116</v>
      </c>
      <c r="D80" s="75" t="s">
        <v>12</v>
      </c>
      <c r="E80" s="16"/>
      <c r="F80" s="53">
        <f>SUM(E80:E82)</f>
        <v>172.79999999999998</v>
      </c>
      <c r="G80" s="95"/>
      <c r="H80" s="81"/>
      <c r="I80" s="88"/>
    </row>
    <row r="81" spans="1:11" ht="25.5" x14ac:dyDescent="0.2">
      <c r="A81" s="10"/>
      <c r="B81" s="10"/>
      <c r="C81" s="22" t="s">
        <v>188</v>
      </c>
      <c r="D81" s="20"/>
      <c r="E81" s="43"/>
      <c r="F81" s="20"/>
      <c r="G81" s="94"/>
      <c r="H81" s="6"/>
      <c r="I81" s="85"/>
      <c r="J81" s="86"/>
      <c r="K81" s="76"/>
    </row>
    <row r="82" spans="1:11" ht="15.75" x14ac:dyDescent="0.2">
      <c r="A82" s="28"/>
      <c r="B82" s="28"/>
      <c r="C82" s="133" t="s">
        <v>117</v>
      </c>
      <c r="D82" s="32" t="s">
        <v>13</v>
      </c>
      <c r="E82" s="40">
        <f>9.6*18</f>
        <v>172.79999999999998</v>
      </c>
      <c r="F82" s="28"/>
      <c r="G82" s="94"/>
      <c r="H82" s="6"/>
    </row>
    <row r="83" spans="1:11" s="6" customFormat="1" ht="15.75" x14ac:dyDescent="0.2">
      <c r="A83" s="20" t="str">
        <f>CONCATENATE(A$73,".4")</f>
        <v>13.4</v>
      </c>
      <c r="B83" s="10"/>
      <c r="C83" s="54" t="s">
        <v>207</v>
      </c>
      <c r="D83" s="120" t="s">
        <v>16</v>
      </c>
      <c r="E83" s="10"/>
      <c r="F83" s="66">
        <f>SUM(E83:E85)</f>
        <v>372.59999999999997</v>
      </c>
      <c r="G83" s="95"/>
      <c r="H83" s="81"/>
      <c r="I83" s="88"/>
    </row>
    <row r="84" spans="1:11" ht="42.75" x14ac:dyDescent="0.2">
      <c r="A84" s="20"/>
      <c r="B84" s="10"/>
      <c r="C84" s="131" t="s">
        <v>208</v>
      </c>
      <c r="D84" s="20"/>
      <c r="E84" s="43"/>
      <c r="F84" s="20"/>
      <c r="G84" s="94"/>
      <c r="H84" s="6"/>
      <c r="I84" s="83"/>
      <c r="K84" s="76"/>
    </row>
    <row r="85" spans="1:11" ht="15.75" x14ac:dyDescent="0.2">
      <c r="A85" s="28"/>
      <c r="B85" s="31"/>
      <c r="C85" s="133" t="s">
        <v>73</v>
      </c>
      <c r="D85" s="28" t="s">
        <v>17</v>
      </c>
      <c r="E85" s="40">
        <f>20.7*18</f>
        <v>372.59999999999997</v>
      </c>
      <c r="F85" s="28"/>
      <c r="G85" s="94"/>
      <c r="H85" s="6"/>
    </row>
    <row r="86" spans="1:11" s="6" customFormat="1" x14ac:dyDescent="0.2">
      <c r="A86" s="4"/>
      <c r="B86" s="47" t="s">
        <v>30</v>
      </c>
      <c r="C86" s="48" t="s">
        <v>31</v>
      </c>
      <c r="D86" s="49"/>
      <c r="E86" s="49"/>
      <c r="F86" s="33"/>
      <c r="G86" s="92"/>
      <c r="I86" s="2"/>
      <c r="J86" s="15"/>
    </row>
    <row r="87" spans="1:11" s="6" customFormat="1" x14ac:dyDescent="0.2">
      <c r="A87" s="16">
        <f>A73+1</f>
        <v>14</v>
      </c>
      <c r="B87" s="16" t="s">
        <v>77</v>
      </c>
      <c r="C87" s="51" t="s">
        <v>78</v>
      </c>
      <c r="D87" s="75" t="s">
        <v>15</v>
      </c>
      <c r="E87" s="16"/>
      <c r="F87" s="67">
        <f>SUM(E87:E89)</f>
        <v>43.6</v>
      </c>
      <c r="G87" s="95"/>
      <c r="H87" s="81"/>
      <c r="I87" s="87"/>
      <c r="J87" s="84"/>
    </row>
    <row r="88" spans="1:11" s="6" customFormat="1" ht="25.5" x14ac:dyDescent="0.2">
      <c r="A88" s="42"/>
      <c r="B88" s="10"/>
      <c r="C88" s="22" t="s">
        <v>157</v>
      </c>
      <c r="D88" s="36"/>
      <c r="E88" s="10"/>
      <c r="F88" s="23"/>
      <c r="G88" s="92"/>
      <c r="H88" s="17"/>
      <c r="I88" s="2"/>
      <c r="J88" s="15"/>
    </row>
    <row r="89" spans="1:11" x14ac:dyDescent="0.2">
      <c r="A89" s="45"/>
      <c r="B89" s="31"/>
      <c r="C89" s="133" t="s">
        <v>205</v>
      </c>
      <c r="D89" s="28" t="s">
        <v>15</v>
      </c>
      <c r="E89" s="35">
        <f>2*16+2*5.8</f>
        <v>43.6</v>
      </c>
      <c r="F89" s="28"/>
      <c r="H89" s="6"/>
    </row>
    <row r="90" spans="1:11" s="6" customFormat="1" x14ac:dyDescent="0.2">
      <c r="A90" s="4"/>
      <c r="B90" s="47" t="s">
        <v>211</v>
      </c>
      <c r="C90" s="48" t="s">
        <v>32</v>
      </c>
      <c r="D90" s="49"/>
      <c r="E90" s="49"/>
      <c r="F90" s="33"/>
      <c r="G90" s="92"/>
      <c r="I90" s="2"/>
      <c r="J90" s="15"/>
    </row>
    <row r="91" spans="1:11" s="6" customFormat="1" x14ac:dyDescent="0.2">
      <c r="A91" s="16">
        <f>A87+1</f>
        <v>15</v>
      </c>
      <c r="B91" s="16" t="s">
        <v>171</v>
      </c>
      <c r="C91" s="51" t="s">
        <v>103</v>
      </c>
      <c r="D91" s="75"/>
      <c r="E91" s="16"/>
      <c r="F91" s="67"/>
      <c r="G91" s="95"/>
      <c r="H91" s="81"/>
      <c r="I91" s="88"/>
    </row>
    <row r="92" spans="1:11" s="6" customFormat="1" x14ac:dyDescent="0.2">
      <c r="A92" s="116" t="str">
        <f>CONCATENATE(A$91,".1")</f>
        <v>15.1</v>
      </c>
      <c r="B92" s="16"/>
      <c r="C92" s="51" t="s">
        <v>190</v>
      </c>
      <c r="D92" s="75" t="s">
        <v>106</v>
      </c>
      <c r="E92" s="16"/>
      <c r="F92" s="53">
        <f>SUM(E92:E94)</f>
        <v>81.599999999999994</v>
      </c>
      <c r="G92" s="95"/>
      <c r="H92" s="81"/>
      <c r="I92" s="88"/>
    </row>
    <row r="93" spans="1:11" x14ac:dyDescent="0.2">
      <c r="A93" s="10"/>
      <c r="B93" s="10"/>
      <c r="C93" s="22" t="s">
        <v>193</v>
      </c>
      <c r="D93" s="20"/>
      <c r="E93" s="43"/>
      <c r="F93" s="20"/>
      <c r="G93" s="94"/>
      <c r="H93" s="6"/>
      <c r="I93" s="37"/>
      <c r="J93" s="38"/>
      <c r="K93" s="76"/>
    </row>
    <row r="94" spans="1:11" x14ac:dyDescent="0.2">
      <c r="A94" s="28"/>
      <c r="B94" s="28"/>
      <c r="C94" s="29" t="s">
        <v>191</v>
      </c>
      <c r="D94" s="28" t="s">
        <v>106</v>
      </c>
      <c r="E94" s="40">
        <f>17*4.8</f>
        <v>81.599999999999994</v>
      </c>
      <c r="F94" s="28"/>
      <c r="G94" s="94"/>
      <c r="H94" s="6"/>
      <c r="I94" s="80"/>
      <c r="J94" s="6"/>
      <c r="K94" s="6"/>
    </row>
    <row r="95" spans="1:11" s="6" customFormat="1" ht="15.75" x14ac:dyDescent="0.2">
      <c r="A95" s="116" t="str">
        <f>CONCATENATE(A$91,".2")</f>
        <v>15.2</v>
      </c>
      <c r="B95" s="16"/>
      <c r="C95" s="51" t="s">
        <v>192</v>
      </c>
      <c r="D95" s="75" t="s">
        <v>16</v>
      </c>
      <c r="E95" s="16"/>
      <c r="F95" s="98">
        <f>SUM(E95:E98)</f>
        <v>1.0169999999999999</v>
      </c>
      <c r="G95" s="95"/>
      <c r="H95" s="81"/>
      <c r="I95" s="88"/>
    </row>
    <row r="96" spans="1:11" s="6" customFormat="1" ht="28.5" x14ac:dyDescent="0.2">
      <c r="A96" s="42"/>
      <c r="B96" s="10"/>
      <c r="C96" s="22" t="s">
        <v>134</v>
      </c>
      <c r="D96" s="36"/>
      <c r="E96" s="10"/>
      <c r="F96" s="23"/>
      <c r="G96" s="92"/>
      <c r="H96" s="17"/>
      <c r="I96" s="2"/>
      <c r="J96" s="15"/>
    </row>
    <row r="97" spans="1:11" s="6" customFormat="1" x14ac:dyDescent="0.2">
      <c r="A97" s="41"/>
      <c r="B97" s="10"/>
      <c r="C97" s="132" t="s">
        <v>194</v>
      </c>
      <c r="D97" s="44" t="s">
        <v>15</v>
      </c>
      <c r="E97" s="34">
        <f>0.045*7.6</f>
        <v>0.34199999999999997</v>
      </c>
      <c r="F97" s="23"/>
      <c r="G97" s="96"/>
      <c r="I97" s="27"/>
      <c r="J97" s="15"/>
    </row>
    <row r="98" spans="1:11" x14ac:dyDescent="0.2">
      <c r="A98" s="28"/>
      <c r="B98" s="28"/>
      <c r="C98" s="133" t="s">
        <v>195</v>
      </c>
      <c r="D98" s="28" t="s">
        <v>15</v>
      </c>
      <c r="E98" s="82">
        <f>0.045*15</f>
        <v>0.67499999999999993</v>
      </c>
      <c r="F98" s="28"/>
      <c r="G98" s="94"/>
      <c r="H98" s="6"/>
    </row>
    <row r="99" spans="1:11" s="6" customFormat="1" x14ac:dyDescent="0.2">
      <c r="A99" s="4"/>
      <c r="B99" s="47" t="s">
        <v>33</v>
      </c>
      <c r="C99" s="48" t="s">
        <v>170</v>
      </c>
      <c r="D99" s="49"/>
      <c r="E99" s="49"/>
      <c r="F99" s="33"/>
      <c r="G99" s="92"/>
      <c r="I99" s="2"/>
      <c r="J99" s="15"/>
    </row>
    <row r="100" spans="1:11" s="6" customFormat="1" ht="15.75" x14ac:dyDescent="0.2">
      <c r="A100" s="16">
        <f>A91+1</f>
        <v>16</v>
      </c>
      <c r="B100" s="16" t="s">
        <v>35</v>
      </c>
      <c r="C100" s="51" t="s">
        <v>36</v>
      </c>
      <c r="D100" s="75" t="s">
        <v>16</v>
      </c>
      <c r="E100" s="16"/>
      <c r="F100" s="67">
        <f>SUM(E100:E107)</f>
        <v>90.660000000000011</v>
      </c>
      <c r="G100" s="95"/>
      <c r="H100" s="17"/>
      <c r="I100" s="88"/>
    </row>
    <row r="101" spans="1:11" s="6" customFormat="1" ht="39.75" x14ac:dyDescent="0.2">
      <c r="A101" s="20"/>
      <c r="B101" s="21"/>
      <c r="C101" s="22" t="s">
        <v>185</v>
      </c>
      <c r="D101" s="20"/>
      <c r="E101" s="34"/>
      <c r="F101" s="23"/>
      <c r="G101" s="92"/>
      <c r="I101" s="37"/>
      <c r="J101" s="26"/>
    </row>
    <row r="102" spans="1:11" ht="15.75" x14ac:dyDescent="0.2">
      <c r="A102" s="10"/>
      <c r="B102" s="10"/>
      <c r="C102" s="132" t="s">
        <v>198</v>
      </c>
      <c r="D102" s="44" t="s">
        <v>17</v>
      </c>
      <c r="E102" s="43">
        <f>2*6*1.35</f>
        <v>16.200000000000003</v>
      </c>
      <c r="F102" s="20"/>
      <c r="G102" s="94"/>
      <c r="H102" s="6"/>
      <c r="I102" s="37"/>
      <c r="J102" s="26"/>
      <c r="K102" s="76"/>
    </row>
    <row r="103" spans="1:11" ht="15.75" x14ac:dyDescent="0.2">
      <c r="A103" s="10"/>
      <c r="B103" s="10"/>
      <c r="C103" s="132" t="s">
        <v>200</v>
      </c>
      <c r="D103" s="44" t="s">
        <v>17</v>
      </c>
      <c r="E103" s="43">
        <f>2*3*1.8</f>
        <v>10.8</v>
      </c>
      <c r="F103" s="20"/>
      <c r="G103" s="94"/>
      <c r="H103" s="6"/>
      <c r="I103" s="37"/>
      <c r="J103" s="26"/>
      <c r="K103" s="76"/>
    </row>
    <row r="104" spans="1:11" ht="15.75" x14ac:dyDescent="0.2">
      <c r="A104" s="10"/>
      <c r="B104" s="10"/>
      <c r="C104" s="132" t="s">
        <v>199</v>
      </c>
      <c r="D104" s="44" t="s">
        <v>17</v>
      </c>
      <c r="E104" s="43">
        <f>2*14*1.35</f>
        <v>37.800000000000004</v>
      </c>
      <c r="F104" s="20"/>
      <c r="G104" s="94"/>
      <c r="H104" s="6"/>
      <c r="I104" s="37"/>
      <c r="J104" s="26"/>
    </row>
    <row r="105" spans="1:11" ht="15.75" x14ac:dyDescent="0.2">
      <c r="A105" s="10"/>
      <c r="B105" s="10"/>
      <c r="C105" s="132" t="s">
        <v>201</v>
      </c>
      <c r="D105" s="44" t="s">
        <v>17</v>
      </c>
      <c r="E105" s="43">
        <f>2*3*2.5</f>
        <v>15</v>
      </c>
      <c r="F105" s="20"/>
      <c r="G105" s="94"/>
      <c r="H105" s="6"/>
      <c r="I105" s="37"/>
      <c r="J105" s="26"/>
    </row>
    <row r="106" spans="1:11" ht="15.75" x14ac:dyDescent="0.2">
      <c r="A106" s="10"/>
      <c r="B106" s="10"/>
      <c r="C106" s="132" t="s">
        <v>203</v>
      </c>
      <c r="D106" s="44" t="s">
        <v>17</v>
      </c>
      <c r="E106" s="43">
        <f>2*1.2*2.5</f>
        <v>6</v>
      </c>
      <c r="F106" s="20"/>
      <c r="G106" s="94"/>
      <c r="H106" s="6"/>
      <c r="I106" s="37"/>
      <c r="J106" s="26"/>
    </row>
    <row r="107" spans="1:11" ht="15.75" x14ac:dyDescent="0.2">
      <c r="A107" s="28"/>
      <c r="B107" s="28"/>
      <c r="C107" s="133" t="s">
        <v>202</v>
      </c>
      <c r="D107" s="28" t="s">
        <v>17</v>
      </c>
      <c r="E107" s="35">
        <f>2*1.8*1.35</f>
        <v>4.8600000000000003</v>
      </c>
      <c r="F107" s="28"/>
      <c r="G107" s="94"/>
      <c r="H107" s="6"/>
    </row>
    <row r="108" spans="1:11" s="6" customFormat="1" x14ac:dyDescent="0.2">
      <c r="A108" s="4">
        <f>A100+1</f>
        <v>17</v>
      </c>
      <c r="B108" s="16" t="s">
        <v>182</v>
      </c>
      <c r="C108" s="51" t="s">
        <v>183</v>
      </c>
      <c r="D108" s="65"/>
      <c r="E108" s="4"/>
      <c r="F108" s="62"/>
      <c r="G108" s="95"/>
      <c r="H108" s="17"/>
      <c r="I108" s="18"/>
      <c r="J108" s="15"/>
    </row>
    <row r="109" spans="1:11" s="6" customFormat="1" ht="15.75" x14ac:dyDescent="0.2">
      <c r="A109" s="20" t="str">
        <f>CONCATENATE(A$108,".1")</f>
        <v>17.1</v>
      </c>
      <c r="B109" s="16"/>
      <c r="C109" s="51" t="s">
        <v>121</v>
      </c>
      <c r="D109" s="75" t="s">
        <v>16</v>
      </c>
      <c r="E109" s="16"/>
      <c r="F109" s="67">
        <f>SUM(E109:E111)</f>
        <v>2</v>
      </c>
      <c r="G109" s="95"/>
      <c r="H109" s="81"/>
      <c r="I109" s="88"/>
    </row>
    <row r="110" spans="1:11" x14ac:dyDescent="0.2">
      <c r="A110" s="10"/>
      <c r="B110" s="10"/>
      <c r="C110" s="22" t="s">
        <v>122</v>
      </c>
      <c r="D110" s="20"/>
      <c r="E110" s="43"/>
      <c r="F110" s="20"/>
      <c r="G110" s="94"/>
      <c r="H110" s="6"/>
      <c r="I110" s="37"/>
      <c r="K110" s="76"/>
    </row>
    <row r="111" spans="1:11" ht="15.75" x14ac:dyDescent="0.2">
      <c r="A111" s="28"/>
      <c r="B111" s="63"/>
      <c r="C111" s="133" t="s">
        <v>212</v>
      </c>
      <c r="D111" s="28" t="s">
        <v>17</v>
      </c>
      <c r="E111" s="35">
        <v>2</v>
      </c>
      <c r="F111" s="35"/>
      <c r="H111" s="6"/>
      <c r="I111" s="37"/>
    </row>
    <row r="112" spans="1:11" s="6" customFormat="1" ht="15.75" x14ac:dyDescent="0.2">
      <c r="A112" s="20" t="str">
        <f>CONCATENATE(A$108,".2")</f>
        <v>17.2</v>
      </c>
      <c r="B112" s="10"/>
      <c r="C112" s="51" t="s">
        <v>123</v>
      </c>
      <c r="D112" s="75" t="s">
        <v>16</v>
      </c>
      <c r="E112" s="16"/>
      <c r="F112" s="98">
        <f>SUM(E112:E114)</f>
        <v>1.25</v>
      </c>
      <c r="G112" s="95"/>
      <c r="H112" s="81"/>
      <c r="I112" s="88"/>
    </row>
    <row r="113" spans="1:11" s="6" customFormat="1" ht="25.5" x14ac:dyDescent="0.2">
      <c r="A113" s="10"/>
      <c r="B113" s="10"/>
      <c r="C113" s="22" t="s">
        <v>125</v>
      </c>
      <c r="D113" s="20"/>
      <c r="E113" s="43"/>
      <c r="F113" s="20"/>
      <c r="G113" s="92"/>
      <c r="I113" s="37"/>
      <c r="J113" s="26"/>
      <c r="K113" s="76"/>
    </row>
    <row r="114" spans="1:11" ht="15.75" x14ac:dyDescent="0.2">
      <c r="A114" s="28"/>
      <c r="B114" s="28"/>
      <c r="C114" s="133" t="s">
        <v>214</v>
      </c>
      <c r="D114" s="28" t="s">
        <v>17</v>
      </c>
      <c r="E114" s="82">
        <v>1.25</v>
      </c>
      <c r="F114" s="35"/>
      <c r="G114" s="94"/>
      <c r="H114" s="6"/>
    </row>
    <row r="115" spans="1:11" s="6" customFormat="1" ht="15.75" x14ac:dyDescent="0.2">
      <c r="A115" s="20" t="str">
        <f>CONCATENATE(A$108,".3")</f>
        <v>17.3</v>
      </c>
      <c r="B115" s="16"/>
      <c r="C115" s="51" t="s">
        <v>124</v>
      </c>
      <c r="D115" s="75" t="s">
        <v>16</v>
      </c>
      <c r="E115" s="16"/>
      <c r="F115" s="98">
        <f>SUM(E115:E117)</f>
        <v>2.6999999999999997</v>
      </c>
      <c r="G115" s="95"/>
      <c r="H115" s="81"/>
      <c r="I115" s="88"/>
    </row>
    <row r="116" spans="1:11" ht="27" x14ac:dyDescent="0.2">
      <c r="A116" s="10"/>
      <c r="B116" s="10"/>
      <c r="C116" s="22" t="s">
        <v>132</v>
      </c>
      <c r="D116" s="20"/>
      <c r="E116" s="43"/>
      <c r="F116" s="20"/>
      <c r="G116" s="94"/>
      <c r="H116" s="6"/>
      <c r="I116" s="37"/>
      <c r="J116" s="26"/>
      <c r="K116" s="76"/>
    </row>
    <row r="117" spans="1:11" ht="15.75" x14ac:dyDescent="0.2">
      <c r="A117" s="28"/>
      <c r="B117" s="63"/>
      <c r="C117" s="133" t="s">
        <v>197</v>
      </c>
      <c r="D117" s="28" t="s">
        <v>17</v>
      </c>
      <c r="E117" s="82">
        <f>0.75*1.2*3</f>
        <v>2.6999999999999997</v>
      </c>
      <c r="F117" s="35"/>
      <c r="H117" s="6"/>
      <c r="I117" s="64"/>
    </row>
    <row r="118" spans="1:11" s="6" customFormat="1" x14ac:dyDescent="0.2">
      <c r="A118" s="4"/>
      <c r="B118" s="47" t="s">
        <v>169</v>
      </c>
      <c r="C118" s="48" t="s">
        <v>34</v>
      </c>
      <c r="D118" s="49"/>
      <c r="E118" s="49"/>
      <c r="F118" s="33"/>
      <c r="G118" s="92"/>
      <c r="I118" s="2"/>
      <c r="J118" s="15"/>
    </row>
    <row r="119" spans="1:11" s="6" customFormat="1" ht="15.75" x14ac:dyDescent="0.2">
      <c r="A119" s="16">
        <f>A108+1</f>
        <v>18</v>
      </c>
      <c r="B119" s="16" t="s">
        <v>173</v>
      </c>
      <c r="C119" s="51" t="s">
        <v>79</v>
      </c>
      <c r="D119" s="75" t="s">
        <v>16</v>
      </c>
      <c r="E119" s="16"/>
      <c r="F119" s="67">
        <f>SUM(E119:E122)</f>
        <v>41.433750000000003</v>
      </c>
      <c r="G119" s="95"/>
      <c r="H119" s="81"/>
      <c r="I119" s="88"/>
    </row>
    <row r="120" spans="1:11" s="6" customFormat="1" ht="27" x14ac:dyDescent="0.2">
      <c r="A120" s="41"/>
      <c r="B120" s="10"/>
      <c r="C120" s="22" t="s">
        <v>189</v>
      </c>
      <c r="D120" s="36"/>
      <c r="E120" s="10"/>
      <c r="F120" s="23"/>
      <c r="G120" s="96"/>
      <c r="I120" s="83"/>
      <c r="J120" s="15"/>
      <c r="K120" s="76"/>
    </row>
    <row r="121" spans="1:11" s="6" customFormat="1" ht="25.5" x14ac:dyDescent="0.2">
      <c r="A121" s="41"/>
      <c r="B121" s="10"/>
      <c r="C121" s="132" t="s">
        <v>81</v>
      </c>
      <c r="D121" s="44" t="s">
        <v>17</v>
      </c>
      <c r="E121" s="43">
        <f>(7*2.25-10)*0.6 + 2*3.85*1.85*0.75</f>
        <v>14.133749999999999</v>
      </c>
      <c r="F121" s="23"/>
      <c r="G121" s="96"/>
      <c r="I121" s="27"/>
      <c r="J121" s="15"/>
    </row>
    <row r="122" spans="1:11" ht="15.75" x14ac:dyDescent="0.2">
      <c r="A122" s="45"/>
      <c r="B122" s="31"/>
      <c r="C122" s="133" t="s">
        <v>80</v>
      </c>
      <c r="D122" s="28" t="s">
        <v>17</v>
      </c>
      <c r="E122" s="35">
        <f>(15*2.4-10)*1.05</f>
        <v>27.3</v>
      </c>
      <c r="F122" s="28"/>
      <c r="H122" s="6"/>
      <c r="I122" s="27"/>
    </row>
    <row r="123" spans="1:11" s="6" customFormat="1" ht="15.75" x14ac:dyDescent="0.2">
      <c r="A123" s="16">
        <f>A119+1</f>
        <v>19</v>
      </c>
      <c r="B123" s="16" t="s">
        <v>172</v>
      </c>
      <c r="C123" s="51" t="s">
        <v>166</v>
      </c>
      <c r="D123" s="75" t="s">
        <v>16</v>
      </c>
      <c r="E123" s="16"/>
      <c r="F123" s="67">
        <f>SUM(E125:E125)</f>
        <v>9.820800000000002</v>
      </c>
      <c r="G123" s="95"/>
      <c r="H123" s="81"/>
      <c r="I123" s="88"/>
    </row>
    <row r="124" spans="1:11" s="6" customFormat="1" ht="39.75" x14ac:dyDescent="0.2">
      <c r="A124" s="41"/>
      <c r="B124" s="10"/>
      <c r="C124" s="22" t="s">
        <v>136</v>
      </c>
      <c r="D124" s="36"/>
      <c r="E124" s="10"/>
      <c r="F124" s="23"/>
      <c r="G124" s="96"/>
      <c r="I124" s="83"/>
      <c r="J124" s="15"/>
      <c r="K124" s="76"/>
    </row>
    <row r="125" spans="1:11" ht="15.75" x14ac:dyDescent="0.2">
      <c r="A125" s="45"/>
      <c r="B125" s="31"/>
      <c r="C125" s="133" t="s">
        <v>82</v>
      </c>
      <c r="D125" s="28" t="s">
        <v>17</v>
      </c>
      <c r="E125" s="35">
        <f>2*0.3*0.8*18.6*110%</f>
        <v>9.820800000000002</v>
      </c>
      <c r="F125" s="28"/>
      <c r="H125" s="6"/>
      <c r="I125" s="27"/>
    </row>
    <row r="126" spans="1:11" x14ac:dyDescent="0.2">
      <c r="A126" s="55"/>
      <c r="B126" s="55"/>
      <c r="C126" s="56"/>
      <c r="D126" s="55"/>
      <c r="E126" s="57"/>
      <c r="F126" s="55"/>
      <c r="G126" s="94"/>
      <c r="H126" s="6"/>
    </row>
    <row r="127" spans="1:11" x14ac:dyDescent="0.2">
      <c r="A127" s="58"/>
      <c r="E127" s="60"/>
      <c r="G127" s="94"/>
      <c r="H127" s="6"/>
    </row>
    <row r="128" spans="1:11" hidden="1" x14ac:dyDescent="0.2">
      <c r="A128" s="58"/>
      <c r="E128" s="60"/>
      <c r="G128" s="94"/>
      <c r="H128" s="6"/>
    </row>
    <row r="129" spans="1:10" hidden="1" x14ac:dyDescent="0.2">
      <c r="A129" s="58"/>
      <c r="E129" s="60"/>
      <c r="G129" s="94"/>
      <c r="H129" s="6"/>
    </row>
    <row r="130" spans="1:10" hidden="1" x14ac:dyDescent="0.2">
      <c r="A130" s="58"/>
      <c r="E130" s="60"/>
      <c r="G130" s="94"/>
      <c r="H130" s="6"/>
    </row>
    <row r="131" spans="1:10" x14ac:dyDescent="0.2">
      <c r="A131" s="58"/>
      <c r="E131" s="60"/>
      <c r="G131" s="94"/>
      <c r="H131" s="6"/>
    </row>
    <row r="132" spans="1:10" s="7" customFormat="1" ht="15.75" x14ac:dyDescent="0.25">
      <c r="A132" s="141" t="s">
        <v>37</v>
      </c>
      <c r="B132" s="142"/>
      <c r="C132" s="142"/>
      <c r="D132" s="142"/>
      <c r="E132" s="142"/>
      <c r="F132" s="143"/>
      <c r="G132" s="92"/>
      <c r="I132" s="8"/>
      <c r="J132" s="9"/>
    </row>
    <row r="133" spans="1:10" s="7" customFormat="1" ht="15.75" customHeight="1" x14ac:dyDescent="0.25">
      <c r="A133" s="138" t="s">
        <v>38</v>
      </c>
      <c r="B133" s="139"/>
      <c r="C133" s="139"/>
      <c r="D133" s="139"/>
      <c r="E133" s="139"/>
      <c r="F133" s="140"/>
      <c r="G133" s="92"/>
      <c r="I133" s="8"/>
      <c r="J133" s="9"/>
    </row>
    <row r="134" spans="1:10" s="6" customFormat="1" x14ac:dyDescent="0.2">
      <c r="A134" s="4"/>
      <c r="B134" s="11" t="s">
        <v>40</v>
      </c>
      <c r="C134" s="12" t="s">
        <v>41</v>
      </c>
      <c r="D134" s="13"/>
      <c r="E134" s="13"/>
      <c r="F134" s="14"/>
      <c r="G134" s="92"/>
      <c r="I134" s="2"/>
      <c r="J134" s="15"/>
    </row>
    <row r="135" spans="1:10" s="6" customFormat="1" x14ac:dyDescent="0.2">
      <c r="A135" s="4">
        <f>A119+1</f>
        <v>19</v>
      </c>
      <c r="B135" s="4" t="s">
        <v>42</v>
      </c>
      <c r="C135" s="61" t="s">
        <v>43</v>
      </c>
      <c r="D135" s="65"/>
      <c r="E135" s="4"/>
      <c r="F135" s="62"/>
      <c r="G135" s="95"/>
      <c r="H135" s="17"/>
      <c r="I135" s="18"/>
      <c r="J135" s="15"/>
    </row>
    <row r="136" spans="1:10" s="6" customFormat="1" ht="15.75" x14ac:dyDescent="0.2">
      <c r="A136" s="20" t="str">
        <f>CONCATENATE(A$135,".1")</f>
        <v>19.1</v>
      </c>
      <c r="B136" s="16"/>
      <c r="C136" s="54" t="s">
        <v>87</v>
      </c>
      <c r="D136" s="75" t="s">
        <v>12</v>
      </c>
      <c r="E136" s="16"/>
      <c r="F136" s="53">
        <f>SUM(E136:E139)</f>
        <v>1302.2</v>
      </c>
      <c r="G136" s="95"/>
      <c r="H136" s="81"/>
      <c r="I136" s="88"/>
    </row>
    <row r="137" spans="1:10" ht="25.5" x14ac:dyDescent="0.2">
      <c r="A137" s="10"/>
      <c r="B137" s="10"/>
      <c r="C137" s="22" t="s">
        <v>88</v>
      </c>
      <c r="D137" s="20"/>
      <c r="E137" s="43"/>
      <c r="F137" s="20"/>
      <c r="G137" s="94"/>
      <c r="H137" s="6"/>
      <c r="I137" s="37"/>
    </row>
    <row r="138" spans="1:10" s="6" customFormat="1" ht="15.75" x14ac:dyDescent="0.2">
      <c r="A138" s="41"/>
      <c r="B138" s="10"/>
      <c r="C138" s="132" t="s">
        <v>135</v>
      </c>
      <c r="D138" s="44" t="s">
        <v>13</v>
      </c>
      <c r="E138" s="130">
        <f>(830+134.8*1.5)</f>
        <v>1032.2</v>
      </c>
      <c r="F138" s="23"/>
      <c r="G138" s="96"/>
      <c r="I138" s="27"/>
      <c r="J138" s="15"/>
    </row>
    <row r="139" spans="1:10" ht="15.75" x14ac:dyDescent="0.2">
      <c r="A139" s="28"/>
      <c r="B139" s="63"/>
      <c r="C139" s="133" t="s">
        <v>94</v>
      </c>
      <c r="D139" s="28" t="s">
        <v>13</v>
      </c>
      <c r="E139" s="40">
        <f>270</f>
        <v>270</v>
      </c>
      <c r="F139" s="35"/>
      <c r="H139" s="6"/>
      <c r="I139" s="37"/>
    </row>
    <row r="140" spans="1:10" s="6" customFormat="1" ht="15.75" x14ac:dyDescent="0.2">
      <c r="A140" s="20" t="str">
        <f>CONCATENATE(A$135,".2")</f>
        <v>19.2</v>
      </c>
      <c r="B140" s="16"/>
      <c r="C140" s="54" t="s">
        <v>43</v>
      </c>
      <c r="D140" s="75" t="s">
        <v>12</v>
      </c>
      <c r="E140" s="16"/>
      <c r="F140" s="53">
        <f>SUM(E140:E143)</f>
        <v>1302.2</v>
      </c>
      <c r="G140" s="95"/>
      <c r="H140" s="81"/>
      <c r="I140" s="88"/>
    </row>
    <row r="141" spans="1:10" ht="25.5" x14ac:dyDescent="0.2">
      <c r="A141" s="10"/>
      <c r="B141" s="10"/>
      <c r="C141" s="22" t="s">
        <v>44</v>
      </c>
      <c r="D141" s="20"/>
      <c r="E141" s="43"/>
      <c r="F141" s="20"/>
      <c r="G141" s="94"/>
      <c r="H141" s="6"/>
      <c r="I141" s="37"/>
    </row>
    <row r="142" spans="1:10" s="6" customFormat="1" ht="15.75" x14ac:dyDescent="0.2">
      <c r="A142" s="41"/>
      <c r="B142" s="10"/>
      <c r="C142" s="132" t="s">
        <v>91</v>
      </c>
      <c r="D142" s="44" t="s">
        <v>13</v>
      </c>
      <c r="E142" s="130">
        <f>830+134.8*(0.75+0.75)</f>
        <v>1032.2</v>
      </c>
      <c r="F142" s="23"/>
      <c r="G142" s="96"/>
      <c r="I142" s="27"/>
      <c r="J142" s="15"/>
    </row>
    <row r="143" spans="1:10" ht="15.75" x14ac:dyDescent="0.2">
      <c r="A143" s="28"/>
      <c r="B143" s="63"/>
      <c r="C143" s="133" t="s">
        <v>94</v>
      </c>
      <c r="D143" s="28" t="s">
        <v>13</v>
      </c>
      <c r="E143" s="40">
        <v>270</v>
      </c>
      <c r="F143" s="35"/>
      <c r="H143" s="6"/>
      <c r="I143" s="37"/>
    </row>
    <row r="144" spans="1:10" s="6" customFormat="1" ht="15.75" x14ac:dyDescent="0.2">
      <c r="A144" s="16">
        <f>A135+1</f>
        <v>20</v>
      </c>
      <c r="B144" s="16" t="s">
        <v>85</v>
      </c>
      <c r="C144" s="51" t="s">
        <v>86</v>
      </c>
      <c r="D144" s="36" t="s">
        <v>12</v>
      </c>
      <c r="E144" s="16"/>
      <c r="F144" s="53">
        <f>SUM(E144:E147)</f>
        <v>1261.76</v>
      </c>
      <c r="G144" s="95"/>
      <c r="H144" s="81"/>
      <c r="I144" s="88"/>
    </row>
    <row r="145" spans="1:10" s="6" customFormat="1" ht="25.5" x14ac:dyDescent="0.2">
      <c r="A145" s="10"/>
      <c r="B145" s="10"/>
      <c r="C145" s="22" t="s">
        <v>163</v>
      </c>
      <c r="D145" s="36"/>
      <c r="E145" s="10"/>
      <c r="F145" s="23"/>
      <c r="G145" s="92"/>
      <c r="I145" s="2"/>
      <c r="J145" s="15"/>
    </row>
    <row r="146" spans="1:10" s="6" customFormat="1" ht="15.75" x14ac:dyDescent="0.2">
      <c r="A146" s="41"/>
      <c r="B146" s="10"/>
      <c r="C146" s="132" t="s">
        <v>90</v>
      </c>
      <c r="D146" s="44" t="s">
        <v>13</v>
      </c>
      <c r="E146" s="130">
        <f>830+134.8*(0.6+0.6)</f>
        <v>991.76</v>
      </c>
      <c r="F146" s="23"/>
      <c r="G146" s="96"/>
      <c r="I146" s="27"/>
      <c r="J146" s="15"/>
    </row>
    <row r="147" spans="1:10" ht="15.75" x14ac:dyDescent="0.2">
      <c r="A147" s="28"/>
      <c r="B147" s="28"/>
      <c r="C147" s="133" t="s">
        <v>94</v>
      </c>
      <c r="D147" s="28" t="s">
        <v>13</v>
      </c>
      <c r="E147" s="40">
        <v>270</v>
      </c>
      <c r="F147" s="28"/>
      <c r="G147" s="94"/>
      <c r="H147" s="6"/>
    </row>
    <row r="148" spans="1:10" s="6" customFormat="1" x14ac:dyDescent="0.2">
      <c r="A148" s="31"/>
      <c r="B148" s="11" t="s">
        <v>45</v>
      </c>
      <c r="C148" s="12" t="s">
        <v>46</v>
      </c>
      <c r="D148" s="13"/>
      <c r="E148" s="13"/>
      <c r="F148" s="14"/>
      <c r="G148" s="92"/>
      <c r="I148" s="2"/>
      <c r="J148" s="15"/>
    </row>
    <row r="149" spans="1:10" s="6" customFormat="1" x14ac:dyDescent="0.2">
      <c r="A149" s="4">
        <f>A144+1</f>
        <v>21</v>
      </c>
      <c r="B149" s="4" t="s">
        <v>52</v>
      </c>
      <c r="C149" s="61" t="s">
        <v>53</v>
      </c>
      <c r="D149" s="65"/>
      <c r="E149" s="4"/>
      <c r="F149" s="62"/>
      <c r="G149" s="95"/>
      <c r="H149" s="17"/>
      <c r="I149" s="18"/>
      <c r="J149" s="15"/>
    </row>
    <row r="150" spans="1:10" s="6" customFormat="1" ht="15.75" x14ac:dyDescent="0.2">
      <c r="A150" s="20" t="str">
        <f>CONCATENATE(A$149,".1")</f>
        <v>21.1</v>
      </c>
      <c r="B150" s="16"/>
      <c r="C150" s="54" t="s">
        <v>54</v>
      </c>
      <c r="D150" s="75" t="s">
        <v>12</v>
      </c>
      <c r="E150" s="16"/>
      <c r="F150" s="53">
        <f>SUM(E150:E153)</f>
        <v>1167.4000000000001</v>
      </c>
      <c r="G150" s="95"/>
      <c r="H150" s="81"/>
      <c r="I150" s="88"/>
    </row>
    <row r="151" spans="1:10" ht="25.5" x14ac:dyDescent="0.2">
      <c r="A151" s="10"/>
      <c r="B151" s="10"/>
      <c r="C151" s="22" t="s">
        <v>164</v>
      </c>
      <c r="D151" s="20"/>
      <c r="E151" s="43"/>
      <c r="F151" s="20"/>
      <c r="G151" s="94"/>
      <c r="H151" s="6"/>
      <c r="I151" s="37"/>
    </row>
    <row r="152" spans="1:10" s="6" customFormat="1" ht="15.75" x14ac:dyDescent="0.2">
      <c r="A152" s="41"/>
      <c r="B152" s="10"/>
      <c r="C152" s="132" t="s">
        <v>89</v>
      </c>
      <c r="D152" s="44" t="s">
        <v>13</v>
      </c>
      <c r="E152" s="130">
        <f>830+134.8*(0.25+0.25)</f>
        <v>897.4</v>
      </c>
      <c r="F152" s="23"/>
      <c r="G152" s="96"/>
      <c r="I152" s="27"/>
      <c r="J152" s="15"/>
    </row>
    <row r="153" spans="1:10" x14ac:dyDescent="0.2">
      <c r="A153" s="28"/>
      <c r="B153" s="63"/>
      <c r="C153" s="133" t="s">
        <v>93</v>
      </c>
      <c r="D153" s="28" t="s">
        <v>92</v>
      </c>
      <c r="E153" s="40">
        <v>270</v>
      </c>
      <c r="F153" s="35"/>
      <c r="H153" s="6"/>
      <c r="I153" s="37"/>
    </row>
    <row r="154" spans="1:10" s="6" customFormat="1" ht="15.75" x14ac:dyDescent="0.2">
      <c r="A154" s="20" t="str">
        <f>CONCATENATE(A$149,".2")</f>
        <v>21.2</v>
      </c>
      <c r="B154" s="16"/>
      <c r="C154" s="54" t="s">
        <v>55</v>
      </c>
      <c r="D154" s="75" t="s">
        <v>12</v>
      </c>
      <c r="E154" s="16"/>
      <c r="F154" s="53">
        <f>SUM(E154:E157)</f>
        <v>1100</v>
      </c>
      <c r="G154" s="95"/>
      <c r="H154" s="81"/>
      <c r="I154" s="88"/>
    </row>
    <row r="155" spans="1:10" ht="25.5" x14ac:dyDescent="0.2">
      <c r="A155" s="10"/>
      <c r="B155" s="10"/>
      <c r="C155" s="22" t="s">
        <v>165</v>
      </c>
      <c r="D155" s="20"/>
      <c r="E155" s="43"/>
      <c r="F155" s="20"/>
      <c r="G155" s="94"/>
      <c r="H155" s="6"/>
      <c r="I155" s="37"/>
    </row>
    <row r="156" spans="1:10" s="6" customFormat="1" ht="15.75" x14ac:dyDescent="0.2">
      <c r="A156" s="41"/>
      <c r="B156" s="10"/>
      <c r="C156" s="132" t="s">
        <v>83</v>
      </c>
      <c r="D156" s="44" t="s">
        <v>13</v>
      </c>
      <c r="E156" s="130">
        <v>830</v>
      </c>
      <c r="F156" s="23"/>
      <c r="G156" s="96"/>
      <c r="I156" s="27"/>
      <c r="J156" s="15"/>
    </row>
    <row r="157" spans="1:10" ht="15.75" x14ac:dyDescent="0.2">
      <c r="A157" s="28"/>
      <c r="B157" s="63"/>
      <c r="C157" s="133" t="s">
        <v>84</v>
      </c>
      <c r="D157" s="28" t="s">
        <v>92</v>
      </c>
      <c r="E157" s="40">
        <v>270</v>
      </c>
      <c r="F157" s="35"/>
      <c r="H157" s="6"/>
      <c r="I157" s="37"/>
    </row>
    <row r="158" spans="1:10" s="6" customFormat="1" x14ac:dyDescent="0.2">
      <c r="A158" s="102"/>
      <c r="B158" s="11" t="s">
        <v>47</v>
      </c>
      <c r="C158" s="12" t="s">
        <v>48</v>
      </c>
      <c r="D158" s="110"/>
      <c r="E158" s="110"/>
      <c r="F158" s="111"/>
      <c r="G158" s="92"/>
      <c r="I158" s="2"/>
      <c r="J158" s="15"/>
    </row>
    <row r="159" spans="1:10" s="6" customFormat="1" x14ac:dyDescent="0.2">
      <c r="A159" s="4">
        <f>A149+1</f>
        <v>22</v>
      </c>
      <c r="B159" s="4" t="s">
        <v>56</v>
      </c>
      <c r="C159" s="61" t="s">
        <v>57</v>
      </c>
      <c r="D159" s="65"/>
      <c r="E159" s="4"/>
      <c r="F159" s="62"/>
      <c r="G159" s="95"/>
      <c r="H159" s="17"/>
      <c r="I159" s="18"/>
      <c r="J159" s="15"/>
    </row>
    <row r="160" spans="1:10" s="6" customFormat="1" ht="15.75" x14ac:dyDescent="0.2">
      <c r="A160" s="20" t="str">
        <f>CONCATENATE(A$159,".1")</f>
        <v>22.1</v>
      </c>
      <c r="B160" s="10"/>
      <c r="C160" s="54" t="s">
        <v>58</v>
      </c>
      <c r="D160" s="75" t="s">
        <v>16</v>
      </c>
      <c r="E160" s="10"/>
      <c r="F160" s="23">
        <f>SUM(E160:E163)</f>
        <v>70.777999999999992</v>
      </c>
      <c r="G160" s="95"/>
      <c r="H160" s="81"/>
      <c r="I160" s="88"/>
    </row>
    <row r="161" spans="1:11" s="6" customFormat="1" x14ac:dyDescent="0.2">
      <c r="A161" s="10"/>
      <c r="B161" s="10"/>
      <c r="C161" s="22" t="s">
        <v>162</v>
      </c>
      <c r="D161" s="36"/>
      <c r="E161" s="10"/>
      <c r="F161" s="23"/>
      <c r="G161" s="92"/>
      <c r="I161" s="37"/>
      <c r="J161" s="26"/>
      <c r="K161" s="76"/>
    </row>
    <row r="162" spans="1:11" s="6" customFormat="1" ht="15.75" x14ac:dyDescent="0.2">
      <c r="A162" s="41"/>
      <c r="B162" s="10"/>
      <c r="C162" s="132" t="s">
        <v>160</v>
      </c>
      <c r="D162" s="44" t="s">
        <v>17</v>
      </c>
      <c r="E162" s="43">
        <f>0.5*0.43*70</f>
        <v>15.049999999999999</v>
      </c>
      <c r="F162" s="23"/>
      <c r="G162" s="96"/>
      <c r="I162" s="27"/>
      <c r="J162" s="15"/>
    </row>
    <row r="163" spans="1:11" ht="15.75" x14ac:dyDescent="0.2">
      <c r="A163" s="28"/>
      <c r="B163" s="63"/>
      <c r="C163" s="133" t="s">
        <v>161</v>
      </c>
      <c r="D163" s="28" t="s">
        <v>17</v>
      </c>
      <c r="E163" s="35">
        <f>2*1*0.43*64.8</f>
        <v>55.727999999999994</v>
      </c>
      <c r="F163" s="35"/>
      <c r="H163" s="6"/>
      <c r="I163" s="37"/>
    </row>
    <row r="164" spans="1:11" s="6" customFormat="1" x14ac:dyDescent="0.2">
      <c r="A164" s="31"/>
      <c r="B164" s="11" t="s">
        <v>59</v>
      </c>
      <c r="C164" s="12" t="s">
        <v>49</v>
      </c>
      <c r="D164" s="13"/>
      <c r="E164" s="13"/>
      <c r="F164" s="14"/>
      <c r="G164" s="92"/>
      <c r="I164" s="2"/>
      <c r="J164" s="15"/>
    </row>
    <row r="165" spans="1:11" s="6" customFormat="1" x14ac:dyDescent="0.2">
      <c r="A165" s="4">
        <f>A159+1</f>
        <v>23</v>
      </c>
      <c r="B165" s="4" t="s">
        <v>50</v>
      </c>
      <c r="C165" s="61" t="s">
        <v>137</v>
      </c>
      <c r="D165" s="65"/>
      <c r="E165" s="4"/>
      <c r="F165" s="62"/>
      <c r="G165" s="95"/>
      <c r="H165" s="17"/>
      <c r="I165" s="18"/>
      <c r="J165" s="15"/>
    </row>
    <row r="166" spans="1:11" s="6" customFormat="1" ht="15.75" x14ac:dyDescent="0.2">
      <c r="A166" s="20" t="str">
        <f>CONCATENATE(A$165,".1")</f>
        <v>23.1</v>
      </c>
      <c r="B166" s="16"/>
      <c r="C166" s="51" t="s">
        <v>51</v>
      </c>
      <c r="D166" s="36" t="s">
        <v>16</v>
      </c>
      <c r="E166" s="16"/>
      <c r="F166" s="67">
        <f>SUM(E166:E168)</f>
        <v>32.200000000000003</v>
      </c>
      <c r="G166" s="95"/>
      <c r="H166" s="81"/>
      <c r="I166" s="88"/>
    </row>
    <row r="167" spans="1:11" s="6" customFormat="1" x14ac:dyDescent="0.2">
      <c r="A167" s="10"/>
      <c r="B167" s="10"/>
      <c r="C167" s="22" t="s">
        <v>138</v>
      </c>
      <c r="D167" s="20"/>
      <c r="E167" s="43"/>
      <c r="F167" s="23"/>
      <c r="G167" s="92"/>
      <c r="I167" s="37"/>
      <c r="J167" s="15"/>
      <c r="K167" s="76"/>
    </row>
    <row r="168" spans="1:11" x14ac:dyDescent="0.2">
      <c r="A168" s="28"/>
      <c r="B168" s="28"/>
      <c r="C168" s="133" t="s">
        <v>140</v>
      </c>
      <c r="D168" s="28" t="s">
        <v>139</v>
      </c>
      <c r="E168" s="35">
        <f>(100+50+11)*0.2</f>
        <v>32.200000000000003</v>
      </c>
      <c r="F168" s="28"/>
      <c r="G168" s="94"/>
      <c r="H168" s="6"/>
      <c r="I168" s="18"/>
      <c r="J168" s="6"/>
      <c r="K168" s="6"/>
    </row>
    <row r="169" spans="1:11" x14ac:dyDescent="0.2">
      <c r="A169" s="55"/>
      <c r="B169" s="55"/>
      <c r="C169" s="56"/>
      <c r="D169" s="55"/>
      <c r="E169" s="57"/>
      <c r="F169" s="55"/>
      <c r="G169" s="94"/>
      <c r="H169" s="6"/>
    </row>
    <row r="170" spans="1:11" x14ac:dyDescent="0.2">
      <c r="A170" s="58"/>
      <c r="E170" s="60"/>
      <c r="G170" s="94"/>
      <c r="H170" s="6"/>
    </row>
    <row r="171" spans="1:11" hidden="1" x14ac:dyDescent="0.2">
      <c r="A171" s="58"/>
      <c r="E171" s="60"/>
      <c r="G171" s="94"/>
      <c r="H171" s="6"/>
    </row>
    <row r="172" spans="1:11" hidden="1" x14ac:dyDescent="0.2">
      <c r="A172" s="58"/>
      <c r="E172" s="60"/>
      <c r="G172" s="94"/>
      <c r="H172" s="6"/>
    </row>
    <row r="173" spans="1:11" hidden="1" x14ac:dyDescent="0.2">
      <c r="A173" s="58"/>
      <c r="E173" s="60"/>
      <c r="G173" s="94"/>
      <c r="H173" s="6"/>
    </row>
    <row r="174" spans="1:11" x14ac:dyDescent="0.2">
      <c r="A174" s="58"/>
      <c r="E174" s="60"/>
      <c r="G174" s="94"/>
      <c r="H174" s="6"/>
    </row>
    <row r="175" spans="1:11" s="7" customFormat="1" ht="15.75" x14ac:dyDescent="0.25">
      <c r="A175" s="141" t="s">
        <v>64</v>
      </c>
      <c r="B175" s="142"/>
      <c r="C175" s="142"/>
      <c r="D175" s="142"/>
      <c r="E175" s="142"/>
      <c r="F175" s="143"/>
      <c r="G175" s="92"/>
      <c r="I175" s="8"/>
      <c r="J175" s="9"/>
    </row>
    <row r="176" spans="1:11" s="7" customFormat="1" ht="15.75" customHeight="1" x14ac:dyDescent="0.25">
      <c r="A176" s="138" t="s">
        <v>180</v>
      </c>
      <c r="B176" s="139"/>
      <c r="C176" s="139"/>
      <c r="D176" s="139"/>
      <c r="E176" s="139"/>
      <c r="F176" s="140"/>
      <c r="G176" s="92"/>
      <c r="I176" s="8"/>
      <c r="J176" s="9"/>
    </row>
    <row r="177" spans="1:11" s="6" customFormat="1" x14ac:dyDescent="0.2">
      <c r="A177" s="16">
        <f>A165+1</f>
        <v>24</v>
      </c>
      <c r="B177" s="109"/>
      <c r="C177" s="51" t="s">
        <v>133</v>
      </c>
      <c r="D177" s="36" t="s">
        <v>14</v>
      </c>
      <c r="E177" s="53">
        <v>1</v>
      </c>
      <c r="F177" s="154">
        <v>1</v>
      </c>
      <c r="G177" s="95"/>
      <c r="H177" s="114"/>
      <c r="I177" s="18"/>
    </row>
    <row r="178" spans="1:11" ht="59.25" customHeight="1" x14ac:dyDescent="0.2">
      <c r="A178" s="20"/>
      <c r="B178" s="20"/>
      <c r="C178" s="22" t="s">
        <v>204</v>
      </c>
      <c r="D178" s="20"/>
      <c r="E178" s="20"/>
      <c r="F178" s="23"/>
      <c r="I178" s="37"/>
      <c r="J178" s="39"/>
    </row>
    <row r="179" spans="1:11" s="6" customFormat="1" ht="25.5" hidden="1" x14ac:dyDescent="0.2">
      <c r="A179" s="108" t="str">
        <f>CONCATENATE(A$177,".1")</f>
        <v>24.1</v>
      </c>
      <c r="B179" s="99"/>
      <c r="C179" s="112" t="s">
        <v>141</v>
      </c>
      <c r="D179" s="113" t="s">
        <v>17</v>
      </c>
      <c r="E179" s="99"/>
      <c r="F179" s="155">
        <f>SUM(E179:E181)</f>
        <v>36</v>
      </c>
      <c r="G179" s="95"/>
      <c r="H179" s="81"/>
      <c r="I179" s="88"/>
    </row>
    <row r="180" spans="1:11" s="6" customFormat="1" ht="38.25" hidden="1" x14ac:dyDescent="0.2">
      <c r="A180" s="103"/>
      <c r="B180" s="103"/>
      <c r="C180" s="137" t="s">
        <v>146</v>
      </c>
      <c r="D180" s="104"/>
      <c r="E180" s="103"/>
      <c r="F180" s="156"/>
      <c r="G180" s="92"/>
      <c r="I180" s="37"/>
      <c r="J180" s="26"/>
      <c r="K180" s="76"/>
    </row>
    <row r="181" spans="1:11" ht="15.75" hidden="1" x14ac:dyDescent="0.2">
      <c r="A181" s="101"/>
      <c r="B181" s="106"/>
      <c r="C181" s="136" t="s">
        <v>142</v>
      </c>
      <c r="D181" s="101" t="s">
        <v>17</v>
      </c>
      <c r="E181" s="107">
        <f xml:space="preserve"> 2*1*(0.5+2.5)*6</f>
        <v>36</v>
      </c>
      <c r="F181" s="157"/>
      <c r="H181" s="6"/>
      <c r="I181" s="37"/>
    </row>
    <row r="182" spans="1:11" s="6" customFormat="1" ht="25.5" hidden="1" x14ac:dyDescent="0.2">
      <c r="A182" s="108" t="str">
        <f>CONCATENATE(A$177,".2")</f>
        <v>24.2</v>
      </c>
      <c r="B182" s="99"/>
      <c r="C182" s="112" t="s">
        <v>143</v>
      </c>
      <c r="D182" s="113" t="s">
        <v>15</v>
      </c>
      <c r="E182" s="99"/>
      <c r="F182" s="158">
        <f>SUM(E182:E184)</f>
        <v>50</v>
      </c>
      <c r="G182" s="95"/>
      <c r="H182" s="81"/>
      <c r="I182" s="88"/>
    </row>
    <row r="183" spans="1:11" s="6" customFormat="1" hidden="1" x14ac:dyDescent="0.2">
      <c r="A183" s="103"/>
      <c r="B183" s="103"/>
      <c r="C183" s="100" t="s">
        <v>145</v>
      </c>
      <c r="D183" s="104"/>
      <c r="E183" s="103"/>
      <c r="F183" s="156"/>
      <c r="G183" s="92"/>
      <c r="I183" s="37"/>
      <c r="J183" s="26"/>
    </row>
    <row r="184" spans="1:11" hidden="1" x14ac:dyDescent="0.2">
      <c r="A184" s="101"/>
      <c r="B184" s="106"/>
      <c r="C184" s="136" t="s">
        <v>147</v>
      </c>
      <c r="D184" s="101" t="s">
        <v>15</v>
      </c>
      <c r="E184" s="105">
        <f>2*25</f>
        <v>50</v>
      </c>
      <c r="F184" s="157"/>
      <c r="H184" s="6"/>
      <c r="I184" s="37"/>
    </row>
    <row r="185" spans="1:11" s="6" customFormat="1" ht="25.5" hidden="1" x14ac:dyDescent="0.2">
      <c r="A185" s="108" t="str">
        <f>CONCATENATE(A$177,".4")</f>
        <v>24.4</v>
      </c>
      <c r="B185" s="99"/>
      <c r="C185" s="112" t="s">
        <v>158</v>
      </c>
      <c r="D185" s="113" t="s">
        <v>14</v>
      </c>
      <c r="E185" s="99"/>
      <c r="F185" s="155">
        <f>SUM(E185:E195)</f>
        <v>87</v>
      </c>
      <c r="G185" s="95"/>
      <c r="H185" s="81"/>
      <c r="I185" s="88"/>
      <c r="J185" s="84"/>
    </row>
    <row r="186" spans="1:11" s="6" customFormat="1" ht="32.25" customHeight="1" x14ac:dyDescent="0.2">
      <c r="A186" s="103"/>
      <c r="B186" s="103"/>
      <c r="C186" s="100" t="s">
        <v>159</v>
      </c>
      <c r="D186" s="104"/>
      <c r="E186" s="103"/>
      <c r="F186" s="156"/>
      <c r="G186" s="92"/>
      <c r="I186" s="37"/>
      <c r="J186" s="26"/>
    </row>
    <row r="187" spans="1:11" ht="16.5" customHeight="1" x14ac:dyDescent="0.2">
      <c r="A187" s="116" t="s">
        <v>216</v>
      </c>
      <c r="B187" s="150"/>
      <c r="C187" s="153" t="s">
        <v>141</v>
      </c>
      <c r="D187" s="52" t="s">
        <v>139</v>
      </c>
      <c r="E187" s="151"/>
      <c r="F187" s="159">
        <v>36</v>
      </c>
      <c r="H187" s="6"/>
      <c r="I187" s="37"/>
    </row>
    <row r="188" spans="1:11" s="79" customFormat="1" ht="24" customHeight="1" x14ac:dyDescent="0.2">
      <c r="A188" s="20"/>
      <c r="B188" s="10"/>
      <c r="C188" s="22" t="s">
        <v>146</v>
      </c>
      <c r="D188" s="36"/>
      <c r="E188" s="10"/>
      <c r="F188" s="160"/>
      <c r="G188" s="97"/>
      <c r="H188" s="72"/>
      <c r="I188" s="77"/>
      <c r="J188" s="78"/>
    </row>
    <row r="189" spans="1:11" s="6" customFormat="1" ht="15.75" x14ac:dyDescent="0.2">
      <c r="A189" s="28"/>
      <c r="B189" s="63"/>
      <c r="C189" s="29" t="s">
        <v>142</v>
      </c>
      <c r="D189" s="28" t="s">
        <v>17</v>
      </c>
      <c r="E189" s="35">
        <v>36</v>
      </c>
      <c r="F189" s="161"/>
      <c r="G189" s="92"/>
      <c r="I189" s="2"/>
      <c r="J189" s="15"/>
      <c r="K189" s="76"/>
    </row>
    <row r="190" spans="1:11" ht="27" x14ac:dyDescent="0.2">
      <c r="A190" s="116" t="s">
        <v>217</v>
      </c>
      <c r="B190" s="150"/>
      <c r="C190" s="153" t="s">
        <v>143</v>
      </c>
      <c r="D190" s="52" t="s">
        <v>15</v>
      </c>
      <c r="E190" s="151"/>
      <c r="F190" s="67">
        <v>50</v>
      </c>
    </row>
    <row r="191" spans="1:11" ht="15.75" x14ac:dyDescent="0.25">
      <c r="A191" s="20"/>
      <c r="B191" s="10"/>
      <c r="C191" s="22" t="s">
        <v>145</v>
      </c>
      <c r="D191" s="36"/>
      <c r="E191" s="42"/>
      <c r="F191" s="10"/>
      <c r="H191" s="69"/>
    </row>
    <row r="192" spans="1:11" x14ac:dyDescent="0.2">
      <c r="A192" s="28"/>
      <c r="B192" s="63"/>
      <c r="C192" s="29" t="s">
        <v>147</v>
      </c>
      <c r="D192" s="28" t="s">
        <v>15</v>
      </c>
      <c r="E192" s="35">
        <v>50</v>
      </c>
      <c r="F192" s="31"/>
    </row>
    <row r="193" spans="1:6" ht="27" x14ac:dyDescent="0.2">
      <c r="A193" s="116" t="s">
        <v>218</v>
      </c>
      <c r="B193" s="150"/>
      <c r="C193" s="153" t="s">
        <v>158</v>
      </c>
      <c r="D193" s="52" t="s">
        <v>14</v>
      </c>
      <c r="E193" s="152"/>
      <c r="F193" s="16">
        <v>1</v>
      </c>
    </row>
    <row r="194" spans="1:6" ht="25.5" x14ac:dyDescent="0.2">
      <c r="A194" s="20"/>
      <c r="B194" s="10"/>
      <c r="C194" s="22" t="s">
        <v>219</v>
      </c>
      <c r="D194" s="36"/>
      <c r="E194" s="42"/>
      <c r="F194" s="10"/>
    </row>
    <row r="195" spans="1:6" x14ac:dyDescent="0.2">
      <c r="A195" s="28"/>
      <c r="B195" s="63"/>
      <c r="C195" s="29" t="s">
        <v>144</v>
      </c>
      <c r="D195" s="58" t="s">
        <v>14</v>
      </c>
      <c r="E195" s="28">
        <v>1</v>
      </c>
      <c r="F195" s="31"/>
    </row>
    <row r="196" spans="1:6" x14ac:dyDescent="0.2">
      <c r="A196" s="117"/>
      <c r="B196" s="118"/>
      <c r="C196" s="115" t="s">
        <v>23</v>
      </c>
      <c r="D196" s="5" t="s">
        <v>14</v>
      </c>
      <c r="E196" s="119">
        <v>1</v>
      </c>
      <c r="F196" s="4">
        <v>1</v>
      </c>
    </row>
    <row r="197" spans="1:6" x14ac:dyDescent="0.2">
      <c r="A197" s="4"/>
      <c r="B197" s="4"/>
      <c r="C197" s="61"/>
      <c r="D197" s="65"/>
      <c r="E197" s="4"/>
      <c r="F197" s="55"/>
    </row>
  </sheetData>
  <mergeCells count="10">
    <mergeCell ref="A1:F1"/>
    <mergeCell ref="A2:F2"/>
    <mergeCell ref="A24:F24"/>
    <mergeCell ref="A25:F25"/>
    <mergeCell ref="A132:F132"/>
    <mergeCell ref="A176:F176"/>
    <mergeCell ref="A133:F133"/>
    <mergeCell ref="A175:F175"/>
    <mergeCell ref="A4:F4"/>
    <mergeCell ref="A5:F5"/>
  </mergeCells>
  <pageMargins left="0.78740157480314965" right="0.39370078740157483" top="0.78740157480314965" bottom="0.78740157480314965" header="0.31496062992125984" footer="0.31496062992125984"/>
  <pageSetup paperSize="9" orientation="portrait" r:id="rId1"/>
  <headerFooter differentFirst="1" alignWithMargins="0">
    <oddHeader>&amp;C&amp;"Times New Roman,Normalny"&amp;9Rozbiórka istniejącego przepustu okularowego i budowa
przepustu łukowego z dnem kamiennym wraz z robudową drogi leśnej i składnicy drewna</oddHeader>
    <oddFooter>&amp;C&amp;"Times New Roman,Normalny"PRZEDMIAR ROBÓT&amp;R&amp;"Times New Roman,Normalny"Strona:  &amp;P</oddFooter>
    <firstFooter>&amp;C&amp;"Times New Roman,Normalny"PRZEDMIAR ROBÓT&amp;R&amp;"Times New Roman,Normalny"Strona:  &amp;P</firstFooter>
  </headerFooter>
  <rowBreaks count="4" manualBreakCount="4">
    <brk id="39" max="5" man="1"/>
    <brk id="79" max="5" man="1"/>
    <brk id="117" max="5" man="1"/>
    <brk id="1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 Robót</vt:lpstr>
      <vt:lpstr>'Przedmiar Robót'!Obszar_wydruku</vt:lpstr>
      <vt:lpstr>'Przedmiar Robót'!Tytuły_wydruku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Biuro Inżynierskie BTB</dc:creator>
  <cp:lastModifiedBy>Jakub Staniszewski</cp:lastModifiedBy>
  <cp:lastPrinted>2023-10-17T08:51:36Z</cp:lastPrinted>
  <dcterms:created xsi:type="dcterms:W3CDTF">2017-01-17T09:18:30Z</dcterms:created>
  <dcterms:modified xsi:type="dcterms:W3CDTF">2024-03-04T10:48:25Z</dcterms:modified>
</cp:coreProperties>
</file>