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<sst xmlns="http://schemas.openxmlformats.org/spreadsheetml/2006/main" count="107" uniqueCount="84">
  <si>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</si>
  <si>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</si>
  <si>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</si>
  <si>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</si>
  <si>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</si>
  <si>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</si>
  <si>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</si>
  <si>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</si>
  <si>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</si>
  <si>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</si>
  <si>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</si>
  <si>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</si>
  <si>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</si>
  <si>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</si>
  <si>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</si>
  <si>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</si>
  <si>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</si>
  <si>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</si>
  <si>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</si>
  <si>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</si>
  <si>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</si>
  <si>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</si>
  <si>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</si>
  <si>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</si>
  <si>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</si>
  <si>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</si>
  <si>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</si>
  <si>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</si>
  <si>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</si>
  <si>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</si>
  <si>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</si>
  <si>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</si>
  <si>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</si>
  <si>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</si>
  <si>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</si>
  <si>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</si>
  <si>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</si>
  <si>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</si>
  <si>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</si>
  <si>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</si>
  <si>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</si>
  <si>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</si>
  <si>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</si>
  <si>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</si>
  <si>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</si>
  <si>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</si>
  <si>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</si>
  <si>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</si>
  <si>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</si>
  <si>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</si>
  <si>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</si>
  <si>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</si>
  <si>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</si>
  <si>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</si>
  <si>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</si>
  <si>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</si>
  <si>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</si>
  <si>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</si>
  <si>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</si>
  <si>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</si>
  <si>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</si>
  <si>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</si>
  <si>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</si>
  <si>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</si>
  <si>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</si>
  <si>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</si>
  <si>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</si>
  <si>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</si>
  <si>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</si>
  <si>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</si>
  <si>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</si>
  <si>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</si>
  <si>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</si>
  <si>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</si>
  <si>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</si>
  <si>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</si>
  <si>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</si>
  <si>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</si>
  <si>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</si>
  <si>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</si>
  <si>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</si>
  <si>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</si>
  <si>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wydatki na wynagrodzenia i pochodne od wynagrodzeń </t>
  </si>
  <si>
    <t xml:space="preserve">Informacja z wykonania budżetów związków jednostek samorządu terytorialnego za II Kwartały 2019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</si>
</sst>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9" t="s">
        <v>83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6" t="s">
        <v>39</v>
      </c>
      <c r="D4" s="96"/>
      <c r="E4" s="96"/>
      <c r="F4" s="96" t="s">
        <v>4</v>
      </c>
      <c r="G4" s="96"/>
      <c r="H4" s="9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2885675664.66</f>
        <v>2885675664.66</v>
      </c>
      <c r="D6" s="65">
        <f>1297707050.99</f>
        <v>1297707050.99</v>
      </c>
      <c r="E6" s="65">
        <f>1260837095.38</f>
        <v>1260837095.38</v>
      </c>
      <c r="F6" s="66">
        <f aca="true" t="shared" si="0" ref="F6:F31">IF($D$6=0,"",100*$D6/$D$6)</f>
        <v>100</v>
      </c>
      <c r="G6" s="66">
        <f>IF(C6=0,"",100*D6/C6)</f>
        <v>44.97064818761953</v>
      </c>
      <c r="H6" s="66"/>
    </row>
    <row r="7" spans="2:8" ht="22.5">
      <c r="B7" s="52" t="s">
        <v>29</v>
      </c>
      <c r="C7" s="15">
        <f>C6-C10</f>
        <v>2563457782.0499997</v>
      </c>
      <c r="D7" s="15">
        <f>D6-D10</f>
        <v>1216293738.18</v>
      </c>
      <c r="E7" s="15">
        <f>E6-E10</f>
        <v>1182185843.63</v>
      </c>
      <c r="F7" s="19">
        <f t="shared" si="0"/>
        <v>93.72637200761982</v>
      </c>
      <c r="G7" s="19">
        <f aca="true" t="shared" si="1" ref="G7:G31">IF(C7=0,"",100*D7/C7)</f>
        <v>47.44738714625246</v>
      </c>
      <c r="H7" s="19">
        <f>IF($D$7=0,"",100*$D7/$D$7)</f>
        <v>100</v>
      </c>
    </row>
    <row r="8" spans="2:8" ht="12.75">
      <c r="B8" s="67" t="s">
        <v>19</v>
      </c>
      <c r="C8" s="68">
        <f>55339196.93</f>
        <v>55339196.93</v>
      </c>
      <c r="D8" s="69">
        <f>26133300.01</f>
        <v>26133300.01</v>
      </c>
      <c r="E8" s="68">
        <f>26132700.01</f>
        <v>26132700.01</v>
      </c>
      <c r="F8" s="20">
        <f t="shared" si="0"/>
        <v>2.013805811570749</v>
      </c>
      <c r="G8" s="20">
        <f t="shared" si="1"/>
        <v>47.22385119367868</v>
      </c>
      <c r="H8" s="20">
        <f>IF($D$7=0,"",100*$D8/$D$7)</f>
        <v>2.148601048386925</v>
      </c>
    </row>
    <row r="9" spans="2:8" ht="12.75">
      <c r="B9" s="67" t="s">
        <v>20</v>
      </c>
      <c r="C9" s="68">
        <f>C7-C8</f>
        <v>2508118585.12</v>
      </c>
      <c r="D9" s="68">
        <f>D7-D8</f>
        <v>1190160438.17</v>
      </c>
      <c r="E9" s="68">
        <f>E7-E8</f>
        <v>1156053143.6200001</v>
      </c>
      <c r="F9" s="20">
        <f t="shared" si="0"/>
        <v>91.71256619604907</v>
      </c>
      <c r="G9" s="20">
        <f t="shared" si="1"/>
        <v>47.452319249612245</v>
      </c>
      <c r="H9" s="20">
        <f>IF($D$7=0,"",100*$D9/$D$7)</f>
        <v>97.85139895161306</v>
      </c>
    </row>
    <row r="10" spans="2:8" ht="22.5">
      <c r="B10" s="64" t="s">
        <v>69</v>
      </c>
      <c r="C10" s="65">
        <f>C11+C24+C26</f>
        <v>322217882.61</v>
      </c>
      <c r="D10" s="65">
        <f>D11+D24+D26</f>
        <v>81413312.81</v>
      </c>
      <c r="E10" s="65">
        <f>E11+E24+E26</f>
        <v>78651251.75</v>
      </c>
      <c r="F10" s="66">
        <f t="shared" si="0"/>
        <v>6.273627992380182</v>
      </c>
      <c r="G10" s="66">
        <f t="shared" si="1"/>
        <v>25.266540811001327</v>
      </c>
      <c r="H10" s="70"/>
    </row>
    <row r="11" spans="2:8" ht="22.5">
      <c r="B11" s="64" t="s">
        <v>30</v>
      </c>
      <c r="C11" s="65">
        <f>C12+C14+C16+C18+C20+C22</f>
        <v>16102441.38</v>
      </c>
      <c r="D11" s="65">
        <f>D12+D14+D16+D18+D20+D22</f>
        <v>7292578.470000001</v>
      </c>
      <c r="E11" s="65">
        <f>E12+E14+E16+E18+E20+E22</f>
        <v>7292578.470000001</v>
      </c>
      <c r="F11" s="66">
        <f t="shared" si="0"/>
        <v>0.5619587613735018</v>
      </c>
      <c r="G11" s="66">
        <f t="shared" si="1"/>
        <v>45.2886509436869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13960721.46</f>
        <v>13960721.46</v>
      </c>
      <c r="D18" s="68">
        <f>6824914.99</f>
        <v>6824914.99</v>
      </c>
      <c r="E18" s="68">
        <f>6824914.99</f>
        <v>6824914.99</v>
      </c>
      <c r="F18" s="20">
        <f t="shared" si="0"/>
        <v>0.5259210840222669</v>
      </c>
      <c r="G18" s="20">
        <f t="shared" si="1"/>
        <v>48.886549377513326</v>
      </c>
      <c r="H18" s="17"/>
    </row>
    <row r="19" spans="2:8" ht="13.5" customHeight="1">
      <c r="B19" s="71" t="s">
        <v>6</v>
      </c>
      <c r="C19" s="68">
        <f>121157</f>
        <v>121157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40</v>
      </c>
      <c r="C20" s="68">
        <f>1991719.92</f>
        <v>1991719.92</v>
      </c>
      <c r="D20" s="68">
        <f>467663.48</f>
        <v>467663.48</v>
      </c>
      <c r="E20" s="68">
        <f>467663.48</f>
        <v>467663.48</v>
      </c>
      <c r="F20" s="20">
        <f t="shared" si="0"/>
        <v>0.03603767735123478</v>
      </c>
      <c r="G20" s="20">
        <f t="shared" si="1"/>
        <v>23.480383727848643</v>
      </c>
      <c r="H20" s="17"/>
    </row>
    <row r="21" spans="2:8" ht="12.75">
      <c r="B21" s="71" t="s">
        <v>6</v>
      </c>
      <c r="C21" s="68">
        <f>1529400</f>
        <v>1529400</v>
      </c>
      <c r="D21" s="68">
        <f>141280</f>
        <v>141280</v>
      </c>
      <c r="E21" s="68">
        <f>141280</f>
        <v>141280</v>
      </c>
      <c r="F21" s="20">
        <f t="shared" si="0"/>
        <v>0.010886894687997552</v>
      </c>
      <c r="G21" s="20">
        <f t="shared" si="1"/>
        <v>9.237609520073232</v>
      </c>
      <c r="H21" s="17"/>
    </row>
    <row r="22" spans="2:8" ht="12.75">
      <c r="B22" s="67" t="s">
        <v>8</v>
      </c>
      <c r="C22" s="68">
        <f>150000</f>
        <v>150000</v>
      </c>
      <c r="D22" s="68">
        <f>0</f>
        <v>0</v>
      </c>
      <c r="E22" s="68">
        <f>0</f>
        <v>0</v>
      </c>
      <c r="F22" s="20">
        <f t="shared" si="0"/>
        <v>0</v>
      </c>
      <c r="G22" s="20">
        <f t="shared" si="1"/>
        <v>0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32069055.19</f>
        <v>32069055.19</v>
      </c>
      <c r="D24" s="15">
        <f>4962182.72</f>
        <v>4962182.72</v>
      </c>
      <c r="E24" s="15">
        <f>2200121.66</f>
        <v>2200121.66</v>
      </c>
      <c r="F24" s="19">
        <f t="shared" si="0"/>
        <v>0.38238080899802696</v>
      </c>
      <c r="G24" s="19">
        <f t="shared" si="1"/>
        <v>15.473429730313173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31139907.69</f>
        <v>31139907.69</v>
      </c>
      <c r="D25" s="14">
        <f>4709176.32</f>
        <v>4709176.32</v>
      </c>
      <c r="E25" s="14">
        <f>1947115.26</f>
        <v>1947115.26</v>
      </c>
      <c r="F25" s="20">
        <f t="shared" si="0"/>
        <v>0.3628843903103897</v>
      </c>
      <c r="G25" s="20">
        <f t="shared" si="1"/>
        <v>15.122640589947105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55</v>
      </c>
      <c r="C26" s="73">
        <f>274046386.04</f>
        <v>274046386.04</v>
      </c>
      <c r="D26" s="73">
        <f>69158551.62</f>
        <v>69158551.62</v>
      </c>
      <c r="E26" s="73">
        <f>69158551.62</f>
        <v>69158551.62</v>
      </c>
      <c r="F26" s="74">
        <f t="shared" si="0"/>
        <v>5.329288422008653</v>
      </c>
      <c r="G26" s="74">
        <f t="shared" si="1"/>
        <v>25.236075038006728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56</v>
      </c>
      <c r="C27" s="14">
        <f>252278876.2</f>
        <v>252278876.2</v>
      </c>
      <c r="D27" s="14">
        <f>68357195.27</f>
        <v>68357195.27</v>
      </c>
      <c r="E27" s="14">
        <f>68357195.27</f>
        <v>68357195.27</v>
      </c>
      <c r="F27" s="20">
        <f t="shared" si="0"/>
        <v>5.267536707753217</v>
      </c>
      <c r="G27" s="20">
        <f t="shared" si="1"/>
        <v>27.09588543426372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2885675664.66</v>
      </c>
      <c r="D29" s="73">
        <f>+D6</f>
        <v>1297707050.99</v>
      </c>
      <c r="E29" s="73">
        <f>+E6</f>
        <v>1260837095.38</v>
      </c>
      <c r="F29" s="74">
        <f t="shared" si="0"/>
        <v>100</v>
      </c>
      <c r="G29" s="74">
        <f t="shared" si="1"/>
        <v>44.97064818761953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57</v>
      </c>
      <c r="C30" s="14">
        <f>427604435.6</f>
        <v>427604435.6</v>
      </c>
      <c r="D30" s="14">
        <f>122608279.89</f>
        <v>122608279.89</v>
      </c>
      <c r="E30" s="14">
        <f>118817336.33</f>
        <v>118817336.33</v>
      </c>
      <c r="F30" s="20">
        <f t="shared" si="0"/>
        <v>9.448070717999421</v>
      </c>
      <c r="G30" s="20">
        <f t="shared" si="1"/>
        <v>28.673294681323927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58</v>
      </c>
      <c r="C31" s="14">
        <f>C29-C30</f>
        <v>2458071229.06</v>
      </c>
      <c r="D31" s="14">
        <f>D29-D30</f>
        <v>1175098771.1</v>
      </c>
      <c r="E31" s="14">
        <f>E29-E30</f>
        <v>1142019759.0500002</v>
      </c>
      <c r="F31" s="20">
        <f t="shared" si="0"/>
        <v>90.55192928200057</v>
      </c>
      <c r="G31" s="20">
        <f t="shared" si="1"/>
        <v>47.80572496059741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9" t="s">
        <v>83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1" t="s">
        <v>59</v>
      </c>
      <c r="D35" s="91" t="s">
        <v>60</v>
      </c>
      <c r="E35" s="91" t="s">
        <v>61</v>
      </c>
      <c r="F35" s="91" t="s">
        <v>12</v>
      </c>
      <c r="G35" s="91"/>
      <c r="H35" s="91"/>
      <c r="I35" s="91" t="s">
        <v>62</v>
      </c>
      <c r="J35" s="91"/>
      <c r="K35" s="91" t="s">
        <v>2</v>
      </c>
      <c r="L35" s="117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1"/>
      <c r="D36" s="95"/>
      <c r="E36" s="91"/>
      <c r="F36" s="98" t="s">
        <v>63</v>
      </c>
      <c r="G36" s="99" t="s">
        <v>24</v>
      </c>
      <c r="H36" s="95"/>
      <c r="I36" s="91"/>
      <c r="J36" s="91"/>
      <c r="K36" s="91"/>
      <c r="L36" s="117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1"/>
      <c r="D37" s="95"/>
      <c r="E37" s="91"/>
      <c r="F37" s="95"/>
      <c r="G37" s="48" t="s">
        <v>64</v>
      </c>
      <c r="H37" s="48" t="s">
        <v>65</v>
      </c>
      <c r="I37" s="91"/>
      <c r="J37" s="91"/>
      <c r="K37" s="91"/>
      <c r="L37" s="117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96" t="s">
        <v>39</v>
      </c>
      <c r="D38" s="96"/>
      <c r="E38" s="96"/>
      <c r="F38" s="96"/>
      <c r="G38" s="96"/>
      <c r="H38" s="96"/>
      <c r="I38" s="96"/>
      <c r="J38" s="96"/>
      <c r="K38" s="96" t="s">
        <v>4</v>
      </c>
      <c r="L38" s="96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5">
        <v>8</v>
      </c>
      <c r="J39" s="95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2899554954.63</f>
        <v>2899554954.63</v>
      </c>
      <c r="D40" s="75">
        <f>1699707066.18</f>
        <v>1699707066.18</v>
      </c>
      <c r="E40" s="75">
        <f>1099110772.08</f>
        <v>1099110772.08</v>
      </c>
      <c r="F40" s="75">
        <f>162968279.86</f>
        <v>162968279.86</v>
      </c>
      <c r="G40" s="75">
        <f>0</f>
        <v>0</v>
      </c>
      <c r="H40" s="75">
        <f>2750941.85</f>
        <v>2750941.85</v>
      </c>
      <c r="I40" s="93">
        <f>0</f>
        <v>0</v>
      </c>
      <c r="J40" s="93"/>
      <c r="K40" s="42">
        <f aca="true" t="shared" si="2" ref="K40:K49">IF($E$40=0,"",100*$E40/$E$40)</f>
        <v>100</v>
      </c>
      <c r="L40" s="42">
        <f aca="true" t="shared" si="3" ref="L40:L49">IF(C40=0,"",100*E40/C40)</f>
        <v>37.906188683368235</v>
      </c>
      <c r="M40" s="22"/>
    </row>
    <row r="41" spans="2:13" ht="12.75">
      <c r="B41" s="52" t="s">
        <v>14</v>
      </c>
      <c r="C41" s="16">
        <f>689784655.46</f>
        <v>689784655.46</v>
      </c>
      <c r="D41" s="16">
        <f>326732488.8</f>
        <v>326732488.8</v>
      </c>
      <c r="E41" s="16">
        <f>126966364.15</f>
        <v>126966364.15</v>
      </c>
      <c r="F41" s="16">
        <f>38146643.56</f>
        <v>38146643.56</v>
      </c>
      <c r="G41" s="16">
        <f>0</f>
        <v>0</v>
      </c>
      <c r="H41" s="16">
        <f>0</f>
        <v>0</v>
      </c>
      <c r="I41" s="92">
        <f>0</f>
        <v>0</v>
      </c>
      <c r="J41" s="94"/>
      <c r="K41" s="21">
        <f t="shared" si="2"/>
        <v>11.55173503665367</v>
      </c>
      <c r="L41" s="21">
        <f t="shared" si="3"/>
        <v>18.40666694235599</v>
      </c>
      <c r="M41" s="22"/>
    </row>
    <row r="42" spans="2:13" ht="12.75">
      <c r="B42" s="67" t="s">
        <v>13</v>
      </c>
      <c r="C42" s="68">
        <f>683648451.06</f>
        <v>683648451.06</v>
      </c>
      <c r="D42" s="68">
        <f>323193488.8</f>
        <v>323193488.8</v>
      </c>
      <c r="E42" s="68">
        <f>123427364.15</f>
        <v>123427364.15</v>
      </c>
      <c r="F42" s="68">
        <f>38146643.56</f>
        <v>38146643.56</v>
      </c>
      <c r="G42" s="68">
        <f>0</f>
        <v>0</v>
      </c>
      <c r="H42" s="68">
        <f>0</f>
        <v>0</v>
      </c>
      <c r="I42" s="87">
        <f>0</f>
        <v>0</v>
      </c>
      <c r="J42" s="87"/>
      <c r="K42" s="77">
        <f t="shared" si="2"/>
        <v>11.229747472715717</v>
      </c>
      <c r="L42" s="77">
        <f t="shared" si="3"/>
        <v>18.05421543172157</v>
      </c>
      <c r="M42" s="22"/>
    </row>
    <row r="43" spans="2:13" ht="22.5">
      <c r="B43" s="64" t="s">
        <v>32</v>
      </c>
      <c r="C43" s="76">
        <f aca="true" t="shared" si="4" ref="C43:I43">C40-C41</f>
        <v>2209770299.17</v>
      </c>
      <c r="D43" s="76">
        <f t="shared" si="4"/>
        <v>1372974577.38</v>
      </c>
      <c r="E43" s="76">
        <f t="shared" si="4"/>
        <v>972144407.93</v>
      </c>
      <c r="F43" s="76">
        <f t="shared" si="4"/>
        <v>124821636.30000001</v>
      </c>
      <c r="G43" s="76">
        <f t="shared" si="4"/>
        <v>0</v>
      </c>
      <c r="H43" s="76">
        <f t="shared" si="4"/>
        <v>2750941.85</v>
      </c>
      <c r="I43" s="92">
        <f t="shared" si="4"/>
        <v>0</v>
      </c>
      <c r="J43" s="92"/>
      <c r="K43" s="42">
        <f t="shared" si="2"/>
        <v>88.44826496334633</v>
      </c>
      <c r="L43" s="42">
        <f t="shared" si="3"/>
        <v>43.99300725035276</v>
      </c>
      <c r="M43" s="22"/>
    </row>
    <row r="44" spans="2:13" ht="22.5">
      <c r="B44" s="67" t="s">
        <v>82</v>
      </c>
      <c r="C44" s="68">
        <f>182912588.72</f>
        <v>182912588.72</v>
      </c>
      <c r="D44" s="68">
        <f>144988504.95</f>
        <v>144988504.95</v>
      </c>
      <c r="E44" s="68">
        <f>84539236.67</f>
        <v>84539236.67</v>
      </c>
      <c r="F44" s="68">
        <f>5732476.75</f>
        <v>5732476.75</v>
      </c>
      <c r="G44" s="68">
        <f>0</f>
        <v>0</v>
      </c>
      <c r="H44" s="68">
        <f>1309.5</f>
        <v>1309.5</v>
      </c>
      <c r="I44" s="87">
        <f>0</f>
        <v>0</v>
      </c>
      <c r="J44" s="87"/>
      <c r="K44" s="77">
        <f t="shared" si="2"/>
        <v>7.6916029591826005</v>
      </c>
      <c r="L44" s="77">
        <f t="shared" si="3"/>
        <v>46.2183807367198</v>
      </c>
      <c r="M44" s="22"/>
    </row>
    <row r="45" spans="2:13" ht="12.75">
      <c r="B45" s="67" t="s">
        <v>28</v>
      </c>
      <c r="C45" s="79">
        <f>8537410.56</f>
        <v>8537410.56</v>
      </c>
      <c r="D45" s="79">
        <f>5796098.72</f>
        <v>5796098.72</v>
      </c>
      <c r="E45" s="79">
        <f>3890526.1</f>
        <v>3890526.1</v>
      </c>
      <c r="F45" s="79">
        <f>299362.02</f>
        <v>299362.02</v>
      </c>
      <c r="G45" s="79">
        <f>0</f>
        <v>0</v>
      </c>
      <c r="H45" s="79">
        <f>0</f>
        <v>0</v>
      </c>
      <c r="I45" s="88">
        <f>0</f>
        <v>0</v>
      </c>
      <c r="J45" s="88"/>
      <c r="K45" s="77">
        <f t="shared" si="2"/>
        <v>0.35397033664199445</v>
      </c>
      <c r="L45" s="77">
        <f t="shared" si="3"/>
        <v>45.57032923106839</v>
      </c>
      <c r="M45" s="22"/>
    </row>
    <row r="46" spans="2:13" ht="12.75">
      <c r="B46" s="67" t="s">
        <v>27</v>
      </c>
      <c r="C46" s="68">
        <f>14716790.22</f>
        <v>14716790.22</v>
      </c>
      <c r="D46" s="68">
        <f>6354543.84</f>
        <v>6354543.84</v>
      </c>
      <c r="E46" s="68">
        <f>4764559.05</f>
        <v>4764559.05</v>
      </c>
      <c r="F46" s="68">
        <f>82711.1</f>
        <v>82711.1</v>
      </c>
      <c r="G46" s="68">
        <f>0</f>
        <v>0</v>
      </c>
      <c r="H46" s="68">
        <f>0</f>
        <v>0</v>
      </c>
      <c r="I46" s="87">
        <f>0</f>
        <v>0</v>
      </c>
      <c r="J46" s="87"/>
      <c r="K46" s="77">
        <f t="shared" si="2"/>
        <v>0.43349216212150876</v>
      </c>
      <c r="L46" s="77">
        <f t="shared" si="3"/>
        <v>32.374987879660075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88">
        <f>0</f>
        <v>0</v>
      </c>
      <c r="J47" s="88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1916963</f>
        <v>1916963</v>
      </c>
      <c r="D48" s="79">
        <f>1124445.57</f>
        <v>1124445.57</v>
      </c>
      <c r="E48" s="79">
        <f>640899.73</f>
        <v>640899.73</v>
      </c>
      <c r="F48" s="79">
        <f>40506.05</f>
        <v>40506.05</v>
      </c>
      <c r="G48" s="79">
        <f>0</f>
        <v>0</v>
      </c>
      <c r="H48" s="79">
        <f>0</f>
        <v>0</v>
      </c>
      <c r="I48" s="89">
        <f>0</f>
        <v>0</v>
      </c>
      <c r="J48" s="90"/>
      <c r="K48" s="77">
        <f t="shared" si="2"/>
        <v>0.05831074958779054</v>
      </c>
      <c r="L48" s="77">
        <f t="shared" si="3"/>
        <v>33.43307773806797</v>
      </c>
      <c r="M48" s="22"/>
    </row>
    <row r="49" spans="2:13" ht="12.75">
      <c r="B49" s="67" t="s">
        <v>26</v>
      </c>
      <c r="C49" s="68">
        <f aca="true" t="shared" si="5" ref="C49:I49">C43-C44-C45-C46-C47-C48</f>
        <v>2001686546.67</v>
      </c>
      <c r="D49" s="68">
        <f t="shared" si="5"/>
        <v>1214710984.3000002</v>
      </c>
      <c r="E49" s="68">
        <f t="shared" si="5"/>
        <v>878309186.38</v>
      </c>
      <c r="F49" s="68">
        <f t="shared" si="5"/>
        <v>118666580.38000003</v>
      </c>
      <c r="G49" s="68">
        <f t="shared" si="5"/>
        <v>0</v>
      </c>
      <c r="H49" s="68">
        <f t="shared" si="5"/>
        <v>2749632.35</v>
      </c>
      <c r="I49" s="89">
        <f t="shared" si="5"/>
        <v>0</v>
      </c>
      <c r="J49" s="90"/>
      <c r="K49" s="77">
        <f t="shared" si="2"/>
        <v>79.91088875581245</v>
      </c>
      <c r="L49" s="77">
        <f t="shared" si="3"/>
        <v>43.87845778556851</v>
      </c>
      <c r="M49" s="22"/>
    </row>
    <row r="50" spans="2:13" ht="12.75">
      <c r="B50" s="64" t="s">
        <v>15</v>
      </c>
      <c r="C50" s="76">
        <f>C6-C40</f>
        <v>-13879289.970000267</v>
      </c>
      <c r="D50" s="76"/>
      <c r="E50" s="76">
        <f>D6-E40</f>
        <v>198596278.9100001</v>
      </c>
      <c r="F50" s="76"/>
      <c r="G50" s="76"/>
      <c r="H50" s="76"/>
      <c r="I50" s="92"/>
      <c r="J50" s="92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09" t="s">
        <v>83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63"/>
    </row>
    <row r="53" spans="2:13" ht="12.75">
      <c r="B53" s="58" t="s">
        <v>16</v>
      </c>
      <c r="C53" s="111" t="s">
        <v>17</v>
      </c>
      <c r="D53" s="112"/>
      <c r="E53" s="111" t="s">
        <v>1</v>
      </c>
      <c r="F53" s="112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98" t="s">
        <v>39</v>
      </c>
      <c r="D54" s="113"/>
      <c r="E54" s="113"/>
      <c r="F54" s="114"/>
      <c r="G54" s="115" t="s">
        <v>4</v>
      </c>
      <c r="H54" s="116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171356951.56</f>
        <v>171356951.56</v>
      </c>
      <c r="D56" s="30"/>
      <c r="E56" s="29">
        <f>522332012.13</f>
        <v>522332012.13</v>
      </c>
      <c r="F56" s="30"/>
      <c r="G56" s="26">
        <f>IF($E$56=0,"",100*$E56/$E$56)</f>
        <v>100</v>
      </c>
      <c r="H56" s="21">
        <f>IF(C56=0,"",100*E56/C56)</f>
        <v>304.8210226517174</v>
      </c>
      <c r="I56" s="47"/>
      <c r="J56" s="47"/>
      <c r="K56" s="47"/>
      <c r="L56" s="47"/>
      <c r="M56" s="47"/>
    </row>
    <row r="57" spans="2:13" ht="22.5">
      <c r="B57" s="23" t="s">
        <v>70</v>
      </c>
      <c r="C57" s="31">
        <f>42001152</f>
        <v>42001152</v>
      </c>
      <c r="D57" s="32"/>
      <c r="E57" s="31">
        <f>16338494.28</f>
        <v>16338494.28</v>
      </c>
      <c r="F57" s="32"/>
      <c r="G57" s="40">
        <f aca="true" t="shared" si="6" ref="G57:G63">IF($E$56=0,"",100*$E57/$E$56)</f>
        <v>3.127990224718146</v>
      </c>
      <c r="H57" s="41">
        <f aca="true" t="shared" si="7" ref="H57:H68">IF(C57=0,"",100*E57/C57)</f>
        <v>38.90010988270036</v>
      </c>
      <c r="I57" s="47"/>
      <c r="J57" s="47"/>
      <c r="K57" s="47"/>
      <c r="L57" s="47"/>
      <c r="M57" s="47"/>
    </row>
    <row r="58" spans="2:13" ht="22.5">
      <c r="B58" s="81" t="s">
        <v>71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72</v>
      </c>
      <c r="C59" s="82">
        <f>0</f>
        <v>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73</v>
      </c>
      <c r="C60" s="82">
        <f>71047528.75</f>
        <v>71047528.75</v>
      </c>
      <c r="D60" s="83"/>
      <c r="E60" s="82">
        <f>421413060.37</f>
        <v>421413060.37</v>
      </c>
      <c r="F60" s="83"/>
      <c r="G60" s="84">
        <f t="shared" si="6"/>
        <v>80.67915628060665</v>
      </c>
      <c r="H60" s="78">
        <f t="shared" si="7"/>
        <v>593.1424608065626</v>
      </c>
      <c r="I60" s="47"/>
      <c r="J60" s="47"/>
      <c r="K60" s="47"/>
      <c r="L60" s="47"/>
      <c r="M60" s="47"/>
    </row>
    <row r="61" spans="2:13" ht="12.75">
      <c r="B61" s="85" t="s">
        <v>74</v>
      </c>
      <c r="C61" s="82">
        <f>0</f>
        <v>0</v>
      </c>
      <c r="D61" s="83"/>
      <c r="E61" s="82">
        <f>0</f>
        <v>0</v>
      </c>
      <c r="F61" s="83"/>
      <c r="G61" s="84">
        <f t="shared" si="6"/>
        <v>0</v>
      </c>
      <c r="H61" s="78">
        <f t="shared" si="7"/>
      </c>
      <c r="I61" s="47"/>
      <c r="J61" s="47"/>
      <c r="K61" s="47"/>
      <c r="L61" s="47"/>
      <c r="M61" s="47"/>
    </row>
    <row r="62" spans="2:13" ht="33.75">
      <c r="B62" s="85" t="s">
        <v>75</v>
      </c>
      <c r="C62" s="82">
        <f>58308270.81</f>
        <v>58308270.81</v>
      </c>
      <c r="D62" s="83"/>
      <c r="E62" s="82">
        <f>84343438.72</f>
        <v>84343438.72</v>
      </c>
      <c r="F62" s="83"/>
      <c r="G62" s="84">
        <f t="shared" si="6"/>
        <v>16.14747646349661</v>
      </c>
      <c r="H62" s="78">
        <f t="shared" si="7"/>
        <v>144.6509003754145</v>
      </c>
      <c r="I62" s="47"/>
      <c r="J62" s="47"/>
      <c r="K62" s="47"/>
      <c r="L62" s="47"/>
      <c r="M62" s="47"/>
    </row>
    <row r="63" spans="2:13" ht="12.75">
      <c r="B63" s="81" t="s">
        <v>41</v>
      </c>
      <c r="C63" s="82">
        <f>0</f>
        <v>0</v>
      </c>
      <c r="D63" s="83"/>
      <c r="E63" s="82">
        <f>237018.76</f>
        <v>237018.76</v>
      </c>
      <c r="F63" s="83"/>
      <c r="G63" s="84">
        <f t="shared" si="6"/>
        <v>0.04537703117859256</v>
      </c>
      <c r="H63" s="78">
        <f t="shared" si="7"/>
      </c>
      <c r="I63" s="47"/>
      <c r="J63" s="47"/>
      <c r="K63" s="47"/>
      <c r="L63" s="47"/>
      <c r="M63" s="47"/>
    </row>
    <row r="64" spans="2:13" ht="22.5">
      <c r="B64" s="56" t="s">
        <v>34</v>
      </c>
      <c r="C64" s="37">
        <f>157362963.81</f>
        <v>157362963.81</v>
      </c>
      <c r="D64" s="38"/>
      <c r="E64" s="37">
        <f>52649367.9</f>
        <v>52649367.9</v>
      </c>
      <c r="F64" s="38"/>
      <c r="G64" s="26">
        <f>IF($E$64=0,"",100*$E64/$E$64)</f>
        <v>100</v>
      </c>
      <c r="H64" s="21">
        <f t="shared" si="7"/>
        <v>33.45728030616456</v>
      </c>
      <c r="I64" s="47"/>
      <c r="J64" s="47"/>
      <c r="K64" s="47"/>
      <c r="L64" s="47"/>
      <c r="M64" s="47"/>
    </row>
    <row r="65" spans="2:13" ht="33.75">
      <c r="B65" s="23" t="s">
        <v>76</v>
      </c>
      <c r="C65" s="31">
        <f>60937904.91</f>
        <v>60937904.91</v>
      </c>
      <c r="D65" s="35"/>
      <c r="E65" s="36">
        <f>45369394.96</f>
        <v>45369394.96</v>
      </c>
      <c r="F65" s="35"/>
      <c r="G65" s="40">
        <f>IF($E$64=0,"",100*$E65/$E$64)</f>
        <v>86.1727248960951</v>
      </c>
      <c r="H65" s="41">
        <f t="shared" si="7"/>
        <v>74.45184573871823</v>
      </c>
      <c r="I65" s="47"/>
      <c r="J65" s="47"/>
      <c r="K65" s="47"/>
      <c r="L65" s="47"/>
      <c r="M65" s="47"/>
    </row>
    <row r="66" spans="2:13" ht="12.75">
      <c r="B66" s="85" t="s">
        <v>77</v>
      </c>
      <c r="C66" s="82">
        <f>0</f>
        <v>0</v>
      </c>
      <c r="D66" s="83"/>
      <c r="E66" s="82">
        <f>0</f>
        <v>0</v>
      </c>
      <c r="F66" s="83"/>
      <c r="G66" s="84">
        <f>IF($E$64=0,"",100*$E66/$E$64)</f>
        <v>0</v>
      </c>
      <c r="H66" s="78">
        <f t="shared" si="7"/>
      </c>
      <c r="I66" s="47"/>
      <c r="J66" s="47"/>
      <c r="K66" s="47"/>
      <c r="L66" s="47"/>
      <c r="M66" s="47"/>
    </row>
    <row r="67" spans="2:13" ht="12.75">
      <c r="B67" s="85" t="s">
        <v>78</v>
      </c>
      <c r="C67" s="82">
        <f>100000</f>
        <v>100000</v>
      </c>
      <c r="D67" s="83"/>
      <c r="E67" s="82">
        <f>750000</f>
        <v>750000</v>
      </c>
      <c r="F67" s="83"/>
      <c r="G67" s="84">
        <f>IF($E$64=0,"",100*$E67/$E$64)</f>
        <v>1.4245185268406613</v>
      </c>
      <c r="H67" s="78">
        <f t="shared" si="7"/>
        <v>750</v>
      </c>
      <c r="I67" s="47"/>
      <c r="J67" s="47"/>
      <c r="K67" s="47"/>
      <c r="L67" s="47"/>
      <c r="M67" s="47"/>
    </row>
    <row r="68" spans="2:13" ht="12.75">
      <c r="B68" s="85" t="s">
        <v>23</v>
      </c>
      <c r="C68" s="82">
        <f>96325058.9</f>
        <v>96325058.9</v>
      </c>
      <c r="D68" s="83"/>
      <c r="E68" s="82">
        <f>6529972.94</f>
        <v>6529972.94</v>
      </c>
      <c r="F68" s="83"/>
      <c r="G68" s="84">
        <f>IF($E$64=0,"",100*$E68/$E$64)</f>
        <v>12.402756577064244</v>
      </c>
      <c r="H68" s="78">
        <f t="shared" si="7"/>
        <v>6.779100905382369</v>
      </c>
      <c r="I68" s="47"/>
      <c r="J68" s="47"/>
      <c r="K68" s="47"/>
      <c r="L68" s="47"/>
      <c r="M68" s="47"/>
    </row>
    <row r="69" spans="2:13" ht="12.75">
      <c r="B69" s="22"/>
      <c r="C69" s="22"/>
      <c r="D69" s="22"/>
      <c r="E69" s="22"/>
      <c r="F69" s="22"/>
      <c r="G69" s="22"/>
      <c r="H69" s="22"/>
      <c r="I69" s="47"/>
      <c r="J69" s="47"/>
      <c r="K69" s="47"/>
      <c r="L69" s="47"/>
      <c r="M69" s="47"/>
    </row>
    <row r="70" spans="2:13" ht="12.75">
      <c r="B70" s="55" t="s">
        <v>16</v>
      </c>
      <c r="C70" s="103" t="s">
        <v>17</v>
      </c>
      <c r="D70" s="104"/>
      <c r="E70" s="103" t="s">
        <v>1</v>
      </c>
      <c r="F70" s="104"/>
      <c r="G70" s="13" t="s">
        <v>21</v>
      </c>
      <c r="H70" s="13" t="s">
        <v>22</v>
      </c>
      <c r="I70" s="47"/>
      <c r="J70" s="47"/>
      <c r="K70" s="47"/>
      <c r="L70" s="47"/>
      <c r="M70" s="47"/>
    </row>
    <row r="71" spans="2:13" ht="12.75">
      <c r="B71" s="55"/>
      <c r="C71" s="100" t="s">
        <v>39</v>
      </c>
      <c r="D71" s="101"/>
      <c r="E71" s="101"/>
      <c r="F71" s="102"/>
      <c r="G71" s="105" t="s">
        <v>4</v>
      </c>
      <c r="H71" s="106"/>
      <c r="I71" s="47"/>
      <c r="J71" s="47"/>
      <c r="K71" s="47"/>
      <c r="L71" s="47"/>
      <c r="M71" s="47"/>
    </row>
    <row r="72" spans="2:13" ht="12.75">
      <c r="B72" s="24">
        <v>1</v>
      </c>
      <c r="C72" s="27">
        <v>2</v>
      </c>
      <c r="D72" s="28"/>
      <c r="E72" s="27">
        <v>3</v>
      </c>
      <c r="F72" s="28"/>
      <c r="G72" s="25">
        <v>4</v>
      </c>
      <c r="H72" s="25">
        <v>5</v>
      </c>
      <c r="I72" s="47"/>
      <c r="J72" s="47"/>
      <c r="K72" s="47"/>
      <c r="L72" s="47"/>
      <c r="M72" s="47"/>
    </row>
    <row r="73" spans="2:13" ht="22.5">
      <c r="B73" s="39" t="s">
        <v>42</v>
      </c>
      <c r="C73" s="34">
        <f>121622797.92</f>
        <v>121622797.92</v>
      </c>
      <c r="D73" s="33"/>
      <c r="E73" s="34">
        <f>0</f>
        <v>0</v>
      </c>
      <c r="F73" s="30"/>
      <c r="G73" s="26"/>
      <c r="H73" s="21"/>
      <c r="I73" s="47"/>
      <c r="J73" s="47"/>
      <c r="K73" s="47"/>
      <c r="L73" s="47"/>
      <c r="M73" s="47"/>
    </row>
    <row r="74" spans="2:13" ht="45">
      <c r="B74" s="44" t="s">
        <v>43</v>
      </c>
      <c r="C74" s="36">
        <f>0</f>
        <v>0</v>
      </c>
      <c r="D74" s="35"/>
      <c r="E74" s="36">
        <f>0</f>
        <v>0</v>
      </c>
      <c r="F74" s="35"/>
      <c r="G74" s="40"/>
      <c r="H74" s="41"/>
      <c r="I74" s="47"/>
      <c r="J74" s="47"/>
      <c r="K74" s="47"/>
      <c r="L74" s="47"/>
      <c r="M74" s="47"/>
    </row>
    <row r="75" spans="2:13" ht="12.75">
      <c r="B75" s="44" t="s">
        <v>44</v>
      </c>
      <c r="C75" s="36">
        <f>23125665.66</f>
        <v>23125665.66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22.5">
      <c r="B76" s="44" t="s">
        <v>45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33.75">
      <c r="B77" s="44" t="s">
        <v>46</v>
      </c>
      <c r="C77" s="36">
        <f>30491967.01</f>
        <v>30491967.01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75" customHeight="1">
      <c r="B78" s="44" t="s">
        <v>47</v>
      </c>
      <c r="C78" s="36">
        <f>30491967.01</f>
        <v>30491967.01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3" customHeight="1">
      <c r="B79" s="22"/>
      <c r="C79" s="22"/>
      <c r="D79" s="22"/>
      <c r="E79" s="22"/>
      <c r="F79" s="22"/>
      <c r="G79" s="22"/>
      <c r="H79" s="22"/>
      <c r="I79" s="47"/>
      <c r="J79" s="47"/>
      <c r="K79" s="47"/>
      <c r="L79" s="47"/>
      <c r="M79" s="47"/>
    </row>
    <row r="80" spans="2:13" ht="12.75">
      <c r="B80" s="55" t="s">
        <v>16</v>
      </c>
      <c r="C80" s="103" t="s">
        <v>81</v>
      </c>
      <c r="D80" s="107"/>
      <c r="E80" s="107"/>
      <c r="F80" s="108"/>
      <c r="G80" s="47"/>
      <c r="H80" s="47"/>
      <c r="I80" s="47"/>
      <c r="J80" s="47"/>
      <c r="K80" s="47"/>
      <c r="L80" s="47"/>
      <c r="M80" s="47"/>
    </row>
    <row r="81" spans="2:13" ht="12.75">
      <c r="B81" s="55"/>
      <c r="C81" s="100" t="s">
        <v>39</v>
      </c>
      <c r="D81" s="101"/>
      <c r="E81" s="101"/>
      <c r="F81" s="102"/>
      <c r="G81" s="47"/>
      <c r="H81" s="47"/>
      <c r="I81" s="47"/>
      <c r="J81" s="47"/>
      <c r="K81" s="47"/>
      <c r="L81" s="47"/>
      <c r="M81" s="47"/>
    </row>
    <row r="82" spans="2:13" ht="12.75">
      <c r="B82" s="24">
        <v>1</v>
      </c>
      <c r="C82" s="119">
        <v>2</v>
      </c>
      <c r="D82" s="120"/>
      <c r="E82" s="120"/>
      <c r="F82" s="121"/>
      <c r="G82" s="47"/>
      <c r="H82" s="47"/>
      <c r="I82" s="47"/>
      <c r="J82" s="47"/>
      <c r="K82" s="47"/>
      <c r="L82" s="47"/>
      <c r="M82" s="47"/>
    </row>
    <row r="83" spans="2:13" ht="56.25">
      <c r="B83" s="39" t="s">
        <v>48</v>
      </c>
      <c r="C83" s="118">
        <f>43206964.38</f>
        <v>43206964.38</v>
      </c>
      <c r="D83" s="107"/>
      <c r="E83" s="107"/>
      <c r="F83" s="108"/>
      <c r="G83" s="47"/>
      <c r="H83" s="47"/>
      <c r="I83" s="47"/>
      <c r="J83" s="47"/>
      <c r="K83" s="47"/>
      <c r="L83" s="47"/>
      <c r="M83" s="47"/>
    </row>
    <row r="84" spans="2:13" ht="33.75">
      <c r="B84" s="44" t="s">
        <v>49</v>
      </c>
      <c r="C84" s="118">
        <f>36674532</f>
        <v>36674532</v>
      </c>
      <c r="D84" s="107"/>
      <c r="E84" s="107"/>
      <c r="F84" s="108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50</v>
      </c>
      <c r="C85" s="118">
        <f>6456955.04</f>
        <v>6456955.04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67.5">
      <c r="B86" s="44" t="s">
        <v>51</v>
      </c>
      <c r="C86" s="118">
        <f>0</f>
        <v>0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45">
      <c r="B87" s="44" t="s">
        <v>52</v>
      </c>
      <c r="C87" s="118">
        <f>0</f>
        <v>0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56.25">
      <c r="B88" s="86" t="s">
        <v>53</v>
      </c>
      <c r="C88" s="118">
        <f>246888.13</f>
        <v>246888.13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45">
      <c r="B89" s="86" t="s">
        <v>54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90">
      <c r="B90" s="86" t="s">
        <v>79</v>
      </c>
      <c r="C90" s="118">
        <f>0</f>
        <v>0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90">
      <c r="B91" s="86" t="s">
        <v>80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3.7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sheetProtection/>
  <mergeCells count="50"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7:F87"/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81:F81"/>
    <mergeCell ref="C70:D70"/>
    <mergeCell ref="E70:F70"/>
    <mergeCell ref="C71:F71"/>
    <mergeCell ref="G71:H71"/>
    <mergeCell ref="C80:F80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1" max="11" man="1"/>
    <brk id="7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2019-08-23T13:13:21Z</dcterms:modified>
  <cp:category/>
  <cp:version/>
  <cp:contentType/>
  <cp:contentStatus/>
</cp:coreProperties>
</file>