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<sst xmlns="http://schemas.openxmlformats.org/spreadsheetml/2006/main" count="95" uniqueCount="78">
  <si>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</si>
  <si>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</si>
  <si>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</si>
  <si>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</si>
  <si>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</si>
  <si>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</si>
  <si>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</si>
  <si>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</si>
  <si>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</si>
  <si>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</si>
  <si>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</si>
  <si>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</si>
  <si>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</si>
  <si>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</si>
  <si>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</si>
  <si>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</si>
  <si>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</si>
  <si>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</si>
  <si>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</si>
  <si>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</si>
  <si>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</si>
  <si>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</si>
  <si>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</si>
  <si>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</si>
  <si>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</si>
  <si>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</si>
  <si>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</si>
  <si>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</si>
  <si>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</si>
  <si>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</si>
  <si>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</si>
  <si>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</si>
  <si>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</si>
  <si>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</si>
  <si>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</si>
  <si>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</si>
  <si>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</si>
  <si>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</si>
  <si>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</si>
  <si>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</si>
  <si>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</si>
  <si>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</si>
  <si>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</si>
  <si>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</si>
  <si>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</si>
  <si>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</si>
  <si>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</si>
  <si>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</si>
  <si>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</si>
  <si>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</si>
  <si>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</si>
  <si>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</si>
  <si>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</si>
  <si>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</si>
  <si>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</si>
  <si>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</si>
  <si>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</si>
  <si>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</si>
  <si>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</si>
  <si>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</si>
  <si>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</si>
  <si>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</si>
  <si>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</si>
  <si>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</si>
  <si>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</si>
  <si>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</si>
  <si>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</si>
  <si>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</si>
  <si>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</si>
  <si>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</si>
  <si>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</si>
  <si>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</si>
  <si>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</si>
  <si>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</si>
  <si>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</si>
  <si>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</si>
  <si>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</si>
  <si>
    <t>Informacja z wykonania budżetów jednostek samorządu terytorialnego za I Kwartał 2018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</si>
</sst>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top" wrapText="1"/>
      <protection/>
    </xf>
    <xf numFmtId="0" fontId="29" fillId="0" borderId="20" xfId="0" applyFont="1" applyFill="1" applyBorder="1" applyAlignment="1">
      <alignment vertical="top" wrapText="1"/>
    </xf>
    <xf numFmtId="0" fontId="8" fillId="40" borderId="19" xfId="88" applyFont="1" applyFill="1" applyBorder="1" applyAlignment="1">
      <alignment horizontal="left" vertical="top" wrapText="1"/>
      <protection/>
    </xf>
    <xf numFmtId="0" fontId="3" fillId="40" borderId="19" xfId="88" applyFont="1" applyFill="1" applyBorder="1" applyAlignment="1">
      <alignment horizontal="left" vertical="top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8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8" fillId="50" borderId="20" xfId="0" applyFont="1" applyFill="1" applyBorder="1" applyAlignment="1">
      <alignment vertical="top" wrapText="1"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1" xfId="88" applyFont="1" applyFill="1" applyBorder="1" applyAlignment="1">
      <alignment horizontal="center" vertical="center" wrapText="1"/>
      <protection/>
    </xf>
    <xf numFmtId="0" fontId="8" fillId="2" borderId="22" xfId="88" applyFont="1" applyFill="1" applyBorder="1" applyAlignment="1">
      <alignment horizontal="center" vertical="center" wrapText="1"/>
      <protection/>
    </xf>
    <xf numFmtId="0" fontId="8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5" xfId="88" applyFont="1" applyFill="1" applyBorder="1" applyAlignment="1">
      <alignment horizontal="center" vertical="center" wrapText="1"/>
      <protection/>
    </xf>
    <xf numFmtId="0" fontId="8" fillId="2" borderId="24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Fill="1" applyBorder="1" applyAlignment="1">
      <alignment horizontal="righ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1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e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" sqref="A1:M1"/>
    </sheetView>
  </sheetViews>
  <sheetFormatPr defaultColWidth="9.00390625" defaultRowHeight="13.5" customHeight="1"/>
  <cols>
    <col min="1" max="1" width="16.375" style="2" customWidth="1"/>
    <col min="2" max="2" width="14.75390625" style="2" customWidth="1"/>
    <col min="3" max="3" width="15.125" style="2" customWidth="1"/>
    <col min="4" max="4" width="12.625" style="2" customWidth="1"/>
    <col min="5" max="5" width="11.375" style="2" customWidth="1"/>
    <col min="6" max="7" width="12.625" style="2" customWidth="1"/>
    <col min="8" max="8" width="12.00390625" style="2" customWidth="1"/>
    <col min="9" max="9" width="11.75390625" style="2" customWidth="1"/>
    <col min="10" max="10" width="13.00390625" style="2" customWidth="1"/>
    <col min="11" max="11" width="12.125" style="2" customWidth="1"/>
    <col min="12" max="12" width="13.25390625" style="2" customWidth="1"/>
    <col min="13" max="13" width="12.875" style="2" customWidth="1"/>
    <col min="14" max="14" width="12.00390625" style="2" customWidth="1"/>
    <col min="15" max="17" width="11.75390625" style="2" customWidth="1"/>
    <col min="18" max="16384" width="9.125" style="2" customWidth="1"/>
  </cols>
  <sheetData>
    <row r="1" spans="1:13" ht="75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2:17" ht="13.5" customHeight="1">
      <c r="B5" s="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"/>
      <c r="O5" s="7"/>
      <c r="P5" s="7"/>
      <c r="Q5" s="7"/>
    </row>
    <row r="6" spans="1:17" ht="13.5" customHeight="1">
      <c r="A6" s="40" t="s">
        <v>0</v>
      </c>
      <c r="B6" s="37" t="s">
        <v>59</v>
      </c>
      <c r="C6" s="44" t="s">
        <v>63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4" t="s">
        <v>62</v>
      </c>
      <c r="P6" s="45"/>
      <c r="Q6" s="46"/>
    </row>
    <row r="7" spans="1:17" ht="13.5" customHeight="1">
      <c r="A7" s="41"/>
      <c r="B7" s="33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38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3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41"/>
      <c r="B8" s="33"/>
      <c r="C8" s="28"/>
      <c r="D8" s="28"/>
      <c r="E8" s="28"/>
      <c r="F8" s="28"/>
      <c r="G8" s="28"/>
      <c r="H8" s="28"/>
      <c r="I8" s="38"/>
      <c r="J8" s="28"/>
      <c r="K8" s="28"/>
      <c r="L8" s="28"/>
      <c r="M8" s="28"/>
      <c r="N8" s="33"/>
      <c r="O8" s="28"/>
      <c r="P8" s="28"/>
      <c r="Q8" s="28"/>
    </row>
    <row r="9" spans="1:17" ht="13.5" customHeight="1">
      <c r="A9" s="41"/>
      <c r="B9" s="33"/>
      <c r="C9" s="28"/>
      <c r="D9" s="28"/>
      <c r="E9" s="28"/>
      <c r="F9" s="28"/>
      <c r="G9" s="28"/>
      <c r="H9" s="28"/>
      <c r="I9" s="38"/>
      <c r="J9" s="28"/>
      <c r="K9" s="28"/>
      <c r="L9" s="28"/>
      <c r="M9" s="28"/>
      <c r="N9" s="33"/>
      <c r="O9" s="28"/>
      <c r="P9" s="28"/>
      <c r="Q9" s="28"/>
    </row>
    <row r="10" spans="1:17" ht="11.25" customHeight="1">
      <c r="A10" s="41"/>
      <c r="B10" s="33"/>
      <c r="C10" s="28"/>
      <c r="D10" s="28"/>
      <c r="E10" s="28"/>
      <c r="F10" s="28"/>
      <c r="G10" s="28"/>
      <c r="H10" s="28"/>
      <c r="I10" s="38"/>
      <c r="J10" s="28"/>
      <c r="K10" s="28"/>
      <c r="L10" s="28"/>
      <c r="M10" s="28"/>
      <c r="N10" s="33"/>
      <c r="O10" s="28"/>
      <c r="P10" s="28"/>
      <c r="Q10" s="28"/>
    </row>
    <row r="11" spans="1:17" ht="27.75" customHeight="1">
      <c r="A11" s="42"/>
      <c r="B11" s="32"/>
      <c r="C11" s="28"/>
      <c r="D11" s="28"/>
      <c r="E11" s="28"/>
      <c r="F11" s="28"/>
      <c r="G11" s="28"/>
      <c r="H11" s="28"/>
      <c r="I11" s="39"/>
      <c r="J11" s="28"/>
      <c r="K11" s="28"/>
      <c r="L11" s="28"/>
      <c r="M11" s="28"/>
      <c r="N11" s="32"/>
      <c r="O11" s="28"/>
      <c r="P11" s="28"/>
      <c r="Q11" s="28"/>
    </row>
    <row r="12" spans="1:17" ht="13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</row>
    <row r="13" spans="1:17" ht="52.5" customHeight="1">
      <c r="A13" s="18" t="s">
        <v>43</v>
      </c>
      <c r="B13" s="20">
        <f>67567801084.25</f>
        <v>67567801084.25</v>
      </c>
      <c r="C13" s="20">
        <f>52305228185.15</f>
        <v>52305228185.15</v>
      </c>
      <c r="D13" s="20">
        <f>3307691730.61</f>
        <v>3307691730.61</v>
      </c>
      <c r="E13" s="20">
        <f>657414639.63</f>
        <v>657414639.63</v>
      </c>
      <c r="F13" s="20">
        <f>399435215.93</f>
        <v>399435215.93</v>
      </c>
      <c r="G13" s="20">
        <f>2243705967.3</f>
        <v>2243705967.3</v>
      </c>
      <c r="H13" s="20">
        <f>7135907.75</f>
        <v>7135907.75</v>
      </c>
      <c r="I13" s="20">
        <f>0</f>
        <v>0</v>
      </c>
      <c r="J13" s="20">
        <f>47850461223.07</f>
        <v>47850461223.07</v>
      </c>
      <c r="K13" s="20">
        <f>950876546.98</f>
        <v>950876546.98</v>
      </c>
      <c r="L13" s="20">
        <f>136904058.56</f>
        <v>136904058.56</v>
      </c>
      <c r="M13" s="20">
        <f>36662366.84</f>
        <v>36662366.84</v>
      </c>
      <c r="N13" s="20">
        <f>22632259.09</f>
        <v>22632259.09</v>
      </c>
      <c r="O13" s="20">
        <f>15262572899.1</f>
        <v>15262572899.1</v>
      </c>
      <c r="P13" s="20">
        <f>15262572216.94</f>
        <v>15262572216.94</v>
      </c>
      <c r="Q13" s="20">
        <f>682.16</f>
        <v>682.16</v>
      </c>
    </row>
    <row r="14" spans="1:17" ht="41.25" customHeight="1">
      <c r="A14" s="18" t="s">
        <v>73</v>
      </c>
      <c r="B14" s="20">
        <f>3802639289.83</f>
        <v>3802639289.83</v>
      </c>
      <c r="C14" s="20">
        <f>3572459590.83</f>
        <v>3572459590.83</v>
      </c>
      <c r="D14" s="20">
        <f>4314933.83</f>
        <v>4314933.83</v>
      </c>
      <c r="E14" s="20">
        <f>2264933.83</f>
        <v>2264933.83</v>
      </c>
      <c r="F14" s="20">
        <f>0</f>
        <v>0</v>
      </c>
      <c r="G14" s="20">
        <f>2050000</f>
        <v>2050000</v>
      </c>
      <c r="H14" s="20">
        <f>0</f>
        <v>0</v>
      </c>
      <c r="I14" s="20">
        <f>0</f>
        <v>0</v>
      </c>
      <c r="J14" s="20">
        <f>3541440657</f>
        <v>3541440657</v>
      </c>
      <c r="K14" s="20">
        <f>26704000</f>
        <v>26704000</v>
      </c>
      <c r="L14" s="20">
        <f>0</f>
        <v>0</v>
      </c>
      <c r="M14" s="20">
        <f>0</f>
        <v>0</v>
      </c>
      <c r="N14" s="20">
        <f>0</f>
        <v>0</v>
      </c>
      <c r="O14" s="20">
        <f>230179699</f>
        <v>230179699</v>
      </c>
      <c r="P14" s="20">
        <f>230179699</f>
        <v>230179699</v>
      </c>
      <c r="Q14" s="20">
        <f>0</f>
        <v>0</v>
      </c>
    </row>
    <row r="15" spans="1:17" ht="22.5">
      <c r="A15" s="15" t="s">
        <v>44</v>
      </c>
      <c r="B15" s="21">
        <f>95112</f>
        <v>95112</v>
      </c>
      <c r="C15" s="21">
        <f>95112</f>
        <v>95112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95112</f>
        <v>95112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3.25" customHeight="1">
      <c r="A16" s="15" t="s">
        <v>45</v>
      </c>
      <c r="B16" s="21">
        <f>3802544177.83</f>
        <v>3802544177.83</v>
      </c>
      <c r="C16" s="21">
        <f>3572364478.83</f>
        <v>3572364478.83</v>
      </c>
      <c r="D16" s="21">
        <f>4314933.83</f>
        <v>4314933.83</v>
      </c>
      <c r="E16" s="21">
        <f>2264933.83</f>
        <v>2264933.83</v>
      </c>
      <c r="F16" s="21">
        <f>0</f>
        <v>0</v>
      </c>
      <c r="G16" s="21">
        <f>2050000</f>
        <v>2050000</v>
      </c>
      <c r="H16" s="21">
        <f>0</f>
        <v>0</v>
      </c>
      <c r="I16" s="21">
        <f>0</f>
        <v>0</v>
      </c>
      <c r="J16" s="21">
        <f>3541345545</f>
        <v>3541345545</v>
      </c>
      <c r="K16" s="21">
        <f>26704000</f>
        <v>26704000</v>
      </c>
      <c r="L16" s="21">
        <f>0</f>
        <v>0</v>
      </c>
      <c r="M16" s="21">
        <f>0</f>
        <v>0</v>
      </c>
      <c r="N16" s="21">
        <f>0</f>
        <v>0</v>
      </c>
      <c r="O16" s="21">
        <f>230179699</f>
        <v>230179699</v>
      </c>
      <c r="P16" s="21">
        <f>230179699</f>
        <v>230179699</v>
      </c>
      <c r="Q16" s="21">
        <f>0</f>
        <v>0</v>
      </c>
    </row>
    <row r="17" spans="1:17" ht="33" customHeight="1">
      <c r="A17" s="18" t="s">
        <v>74</v>
      </c>
      <c r="B17" s="20">
        <f>63679501011.51</f>
        <v>63679501011.51</v>
      </c>
      <c r="C17" s="20">
        <f>48647108522.95</f>
        <v>48647108522.95</v>
      </c>
      <c r="D17" s="20">
        <f>3281359985.68</f>
        <v>3281359985.68</v>
      </c>
      <c r="E17" s="20">
        <f>648871079.22</f>
        <v>648871079.22</v>
      </c>
      <c r="F17" s="20">
        <f>395874077.64</f>
        <v>395874077.64</v>
      </c>
      <c r="G17" s="20">
        <f>2232786898.19</f>
        <v>2232786898.19</v>
      </c>
      <c r="H17" s="20">
        <f>3827930.63</f>
        <v>3827930.63</v>
      </c>
      <c r="I17" s="20">
        <f>0</f>
        <v>0</v>
      </c>
      <c r="J17" s="20">
        <f>44308738541.4</f>
        <v>44308738541.4</v>
      </c>
      <c r="K17" s="20">
        <f>912908854.04</f>
        <v>912908854.04</v>
      </c>
      <c r="L17" s="20">
        <f>117569993.57</f>
        <v>117569993.57</v>
      </c>
      <c r="M17" s="20">
        <f>10150466.74</f>
        <v>10150466.74</v>
      </c>
      <c r="N17" s="20">
        <f>16380681.52</f>
        <v>16380681.52</v>
      </c>
      <c r="O17" s="20">
        <f>15032392488.56</f>
        <v>15032392488.56</v>
      </c>
      <c r="P17" s="20">
        <f>15032392488.56</f>
        <v>15032392488.56</v>
      </c>
      <c r="Q17" s="20">
        <f>0</f>
        <v>0</v>
      </c>
    </row>
    <row r="18" spans="1:17" ht="22.5">
      <c r="A18" s="15" t="s">
        <v>46</v>
      </c>
      <c r="B18" s="21">
        <f>625993210.59</f>
        <v>625993210.59</v>
      </c>
      <c r="C18" s="21">
        <f>625993210.59</f>
        <v>625993210.59</v>
      </c>
      <c r="D18" s="21">
        <f>77519170</f>
        <v>77519170</v>
      </c>
      <c r="E18" s="21">
        <f>58059575.61</f>
        <v>58059575.61</v>
      </c>
      <c r="F18" s="21">
        <f>2101271.88</f>
        <v>2101271.88</v>
      </c>
      <c r="G18" s="21">
        <f>16603847.51</f>
        <v>16603847.51</v>
      </c>
      <c r="H18" s="21">
        <f>754475</f>
        <v>754475</v>
      </c>
      <c r="I18" s="21">
        <f>0</f>
        <v>0</v>
      </c>
      <c r="J18" s="21">
        <f>543605619.81</f>
        <v>543605619.81</v>
      </c>
      <c r="K18" s="21">
        <f>896900.11</f>
        <v>896900.11</v>
      </c>
      <c r="L18" s="21">
        <f>907932.07</f>
        <v>907932.07</v>
      </c>
      <c r="M18" s="21">
        <f>2607790.38</f>
        <v>2607790.38</v>
      </c>
      <c r="N18" s="21">
        <f>455798.22</f>
        <v>455798.22</v>
      </c>
      <c r="O18" s="21">
        <f>0</f>
        <v>0</v>
      </c>
      <c r="P18" s="21">
        <f>0</f>
        <v>0</v>
      </c>
      <c r="Q18" s="21">
        <f>0</f>
        <v>0</v>
      </c>
    </row>
    <row r="19" spans="1:17" ht="24" customHeight="1">
      <c r="A19" s="15" t="s">
        <v>47</v>
      </c>
      <c r="B19" s="21">
        <f>63053507800.92</f>
        <v>63053507800.92</v>
      </c>
      <c r="C19" s="21">
        <f>48021115312.36</f>
        <v>48021115312.36</v>
      </c>
      <c r="D19" s="21">
        <f>3203840815.68</f>
        <v>3203840815.68</v>
      </c>
      <c r="E19" s="21">
        <f>590811503.61</f>
        <v>590811503.61</v>
      </c>
      <c r="F19" s="21">
        <f>393772805.76</f>
        <v>393772805.76</v>
      </c>
      <c r="G19" s="21">
        <f>2216183050.68</f>
        <v>2216183050.68</v>
      </c>
      <c r="H19" s="21">
        <f>3073455.63</f>
        <v>3073455.63</v>
      </c>
      <c r="I19" s="21">
        <f>0</f>
        <v>0</v>
      </c>
      <c r="J19" s="21">
        <f>43765132921.59</f>
        <v>43765132921.59</v>
      </c>
      <c r="K19" s="21">
        <f>912011953.93</f>
        <v>912011953.93</v>
      </c>
      <c r="L19" s="21">
        <f>116662061.5</f>
        <v>116662061.5</v>
      </c>
      <c r="M19" s="21">
        <f>7542676.36</f>
        <v>7542676.36</v>
      </c>
      <c r="N19" s="21">
        <f>15924883.3</f>
        <v>15924883.3</v>
      </c>
      <c r="O19" s="21">
        <f>15032392488.56</f>
        <v>15032392488.56</v>
      </c>
      <c r="P19" s="21">
        <f>15032392488.56</f>
        <v>15032392488.56</v>
      </c>
      <c r="Q19" s="21">
        <f>0</f>
        <v>0</v>
      </c>
    </row>
    <row r="20" spans="1:17" ht="24.75" customHeight="1">
      <c r="A20" s="25" t="s">
        <v>48</v>
      </c>
      <c r="B20" s="26">
        <f>0</f>
        <v>0</v>
      </c>
      <c r="C20" s="26">
        <f>0</f>
        <v>0</v>
      </c>
      <c r="D20" s="26">
        <f>0</f>
        <v>0</v>
      </c>
      <c r="E20" s="26">
        <f>0</f>
        <v>0</v>
      </c>
      <c r="F20" s="26">
        <f>0</f>
        <v>0</v>
      </c>
      <c r="G20" s="26">
        <f>0</f>
        <v>0</v>
      </c>
      <c r="H20" s="26">
        <f>0</f>
        <v>0</v>
      </c>
      <c r="I20" s="26">
        <f>0</f>
        <v>0</v>
      </c>
      <c r="J20" s="26">
        <f>0</f>
        <v>0</v>
      </c>
      <c r="K20" s="26">
        <f>0</f>
        <v>0</v>
      </c>
      <c r="L20" s="26">
        <f>0</f>
        <v>0</v>
      </c>
      <c r="M20" s="26">
        <f>0</f>
        <v>0</v>
      </c>
      <c r="N20" s="26">
        <f>0</f>
        <v>0</v>
      </c>
      <c r="O20" s="26">
        <f>0</f>
        <v>0</v>
      </c>
      <c r="P20" s="26">
        <f>0</f>
        <v>0</v>
      </c>
      <c r="Q20" s="26">
        <f>0</f>
        <v>0</v>
      </c>
    </row>
    <row r="21" spans="1:17" ht="38.25" customHeight="1">
      <c r="A21" s="19" t="s">
        <v>75</v>
      </c>
      <c r="B21" s="20">
        <f>85660782.91</f>
        <v>85660782.91</v>
      </c>
      <c r="C21" s="20">
        <f>85660071.37</f>
        <v>85660071.37</v>
      </c>
      <c r="D21" s="20">
        <f>22016811.1</f>
        <v>22016811.1</v>
      </c>
      <c r="E21" s="20">
        <f>6278626.58</f>
        <v>6278626.58</v>
      </c>
      <c r="F21" s="20">
        <f>3561138.29</f>
        <v>3561138.29</v>
      </c>
      <c r="G21" s="20">
        <f>8869069.11</f>
        <v>8869069.11</v>
      </c>
      <c r="H21" s="20">
        <f>3307977.12</f>
        <v>3307977.12</v>
      </c>
      <c r="I21" s="20">
        <f>0</f>
        <v>0</v>
      </c>
      <c r="J21" s="20">
        <f>282024.67</f>
        <v>282024.67</v>
      </c>
      <c r="K21" s="20">
        <f>11263692.94</f>
        <v>11263692.94</v>
      </c>
      <c r="L21" s="20">
        <f>19334064.99</f>
        <v>19334064.99</v>
      </c>
      <c r="M21" s="20">
        <f>26511900.1</f>
        <v>26511900.1</v>
      </c>
      <c r="N21" s="20">
        <f>6251577.57</f>
        <v>6251577.57</v>
      </c>
      <c r="O21" s="20">
        <f>711.54</f>
        <v>711.54</v>
      </c>
      <c r="P21" s="20">
        <f>29.38</f>
        <v>29.38</v>
      </c>
      <c r="Q21" s="20">
        <f>682.16</f>
        <v>682.16</v>
      </c>
    </row>
    <row r="22" spans="1:17" ht="33" customHeight="1">
      <c r="A22" s="16" t="s">
        <v>49</v>
      </c>
      <c r="B22" s="21">
        <f>44372794.49</f>
        <v>44372794.49</v>
      </c>
      <c r="C22" s="21">
        <f>44372794.49</f>
        <v>44372794.49</v>
      </c>
      <c r="D22" s="21">
        <f>1352455.64</f>
        <v>1352455.64</v>
      </c>
      <c r="E22" s="21">
        <f>206.59</f>
        <v>206.59</v>
      </c>
      <c r="F22" s="21">
        <f>3775.7</f>
        <v>3775.7</v>
      </c>
      <c r="G22" s="21">
        <f>1348473.35</f>
        <v>1348473.35</v>
      </c>
      <c r="H22" s="21">
        <f>0</f>
        <v>0</v>
      </c>
      <c r="I22" s="21">
        <f>0</f>
        <v>0</v>
      </c>
      <c r="J22" s="21">
        <f>40.25</f>
        <v>40.25</v>
      </c>
      <c r="K22" s="21">
        <f>3136394.14</f>
        <v>3136394.14</v>
      </c>
      <c r="L22" s="21">
        <f>16810012.12</f>
        <v>16810012.12</v>
      </c>
      <c r="M22" s="21">
        <f>18062712.25</f>
        <v>18062712.25</v>
      </c>
      <c r="N22" s="21">
        <f>5011180.09</f>
        <v>5011180.09</v>
      </c>
      <c r="O22" s="21">
        <f>0</f>
        <v>0</v>
      </c>
      <c r="P22" s="21">
        <f>0</f>
        <v>0</v>
      </c>
      <c r="Q22" s="21">
        <f>0</f>
        <v>0</v>
      </c>
    </row>
    <row r="23" spans="1:17" ht="23.25" customHeight="1">
      <c r="A23" s="16" t="s">
        <v>50</v>
      </c>
      <c r="B23" s="21">
        <f>41287988.42</f>
        <v>41287988.42</v>
      </c>
      <c r="C23" s="21">
        <f>41287276.88</f>
        <v>41287276.88</v>
      </c>
      <c r="D23" s="21">
        <f>20664355.46</f>
        <v>20664355.46</v>
      </c>
      <c r="E23" s="21">
        <f>6278419.99</f>
        <v>6278419.99</v>
      </c>
      <c r="F23" s="21">
        <f>3557362.59</f>
        <v>3557362.59</v>
      </c>
      <c r="G23" s="21">
        <f>7520595.76</f>
        <v>7520595.76</v>
      </c>
      <c r="H23" s="21">
        <f>3307977.12</f>
        <v>3307977.12</v>
      </c>
      <c r="I23" s="21">
        <f>0</f>
        <v>0</v>
      </c>
      <c r="J23" s="21">
        <f>281984.42</f>
        <v>281984.42</v>
      </c>
      <c r="K23" s="21">
        <f>8127298.8</f>
        <v>8127298.8</v>
      </c>
      <c r="L23" s="21">
        <f>2524052.87</f>
        <v>2524052.87</v>
      </c>
      <c r="M23" s="21">
        <f>8449187.85</f>
        <v>8449187.85</v>
      </c>
      <c r="N23" s="21">
        <f>1240397.48</f>
        <v>1240397.48</v>
      </c>
      <c r="O23" s="21">
        <f>711.54</f>
        <v>711.54</v>
      </c>
      <c r="P23" s="21">
        <f>29.38</f>
        <v>29.38</v>
      </c>
      <c r="Q23" s="21">
        <f>682.16</f>
        <v>682.16</v>
      </c>
    </row>
    <row r="24" spans="1:17" ht="19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9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9.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9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9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9.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3" ht="45.75" customHeight="1">
      <c r="A30" s="35" t="s">
        <v>77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2" spans="1:13" ht="13.5" customHeight="1">
      <c r="A32" s="36" t="s">
        <v>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4" spans="1:17" ht="13.5" customHeight="1">
      <c r="A34" s="40" t="s">
        <v>0</v>
      </c>
      <c r="B34" s="37" t="s">
        <v>9</v>
      </c>
      <c r="C34" s="29" t="s">
        <v>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29" t="s">
        <v>21</v>
      </c>
      <c r="P34" s="30"/>
      <c r="Q34" s="31"/>
    </row>
    <row r="35" spans="1:17" ht="13.5" customHeight="1">
      <c r="A35" s="41"/>
      <c r="B35" s="33"/>
      <c r="C35" s="33" t="s">
        <v>10</v>
      </c>
      <c r="D35" s="28" t="s">
        <v>12</v>
      </c>
      <c r="E35" s="28" t="s">
        <v>22</v>
      </c>
      <c r="F35" s="28" t="s">
        <v>23</v>
      </c>
      <c r="G35" s="28" t="s">
        <v>68</v>
      </c>
      <c r="H35" s="28" t="s">
        <v>25</v>
      </c>
      <c r="I35" s="28" t="s">
        <v>1</v>
      </c>
      <c r="J35" s="28" t="s">
        <v>13</v>
      </c>
      <c r="K35" s="28" t="s">
        <v>14</v>
      </c>
      <c r="L35" s="28" t="s">
        <v>15</v>
      </c>
      <c r="M35" s="28" t="s">
        <v>16</v>
      </c>
      <c r="N35" s="34" t="s">
        <v>17</v>
      </c>
      <c r="O35" s="28" t="s">
        <v>18</v>
      </c>
      <c r="P35" s="28" t="s">
        <v>19</v>
      </c>
      <c r="Q35" s="37" t="s">
        <v>20</v>
      </c>
    </row>
    <row r="36" spans="1:17" ht="13.5" customHeight="1">
      <c r="A36" s="41"/>
      <c r="B36" s="33"/>
      <c r="C36" s="3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28"/>
      <c r="P36" s="28"/>
      <c r="Q36" s="33"/>
    </row>
    <row r="37" spans="1:17" ht="11.25" customHeight="1">
      <c r="A37" s="41"/>
      <c r="B37" s="33"/>
      <c r="C37" s="3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4"/>
      <c r="O37" s="28"/>
      <c r="P37" s="28"/>
      <c r="Q37" s="33"/>
    </row>
    <row r="38" spans="1:17" ht="32.25" customHeight="1">
      <c r="A38" s="42"/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4"/>
      <c r="O38" s="28"/>
      <c r="P38" s="28"/>
      <c r="Q38" s="32"/>
    </row>
    <row r="39" spans="1:17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  <c r="O39" s="9">
        <v>15</v>
      </c>
      <c r="P39" s="9">
        <v>16</v>
      </c>
      <c r="Q39" s="9">
        <v>17</v>
      </c>
    </row>
    <row r="40" spans="1:17" ht="27.75" customHeight="1" hidden="1">
      <c r="A40" s="10" t="s">
        <v>26</v>
      </c>
      <c r="B40" s="11">
        <f>0</f>
        <v>0</v>
      </c>
      <c r="C40" s="11">
        <f>0</f>
        <v>0</v>
      </c>
      <c r="D40" s="11">
        <f>0</f>
        <v>0</v>
      </c>
      <c r="E40" s="11">
        <f>0</f>
        <v>0</v>
      </c>
      <c r="F40" s="11">
        <f>0</f>
        <v>0</v>
      </c>
      <c r="G40" s="11">
        <f>0</f>
        <v>0</v>
      </c>
      <c r="H40" s="11">
        <f>0</f>
        <v>0</v>
      </c>
      <c r="I40" s="11">
        <f>0</f>
        <v>0</v>
      </c>
      <c r="J40" s="11">
        <f>0</f>
        <v>0</v>
      </c>
      <c r="K40" s="11">
        <f>0</f>
        <v>0</v>
      </c>
      <c r="L40" s="11">
        <f>0</f>
        <v>0</v>
      </c>
      <c r="M40" s="11">
        <f>0</f>
        <v>0</v>
      </c>
      <c r="N40" s="11">
        <f>0</f>
        <v>0</v>
      </c>
      <c r="O40" s="11">
        <f>0</f>
        <v>0</v>
      </c>
      <c r="P40" s="11">
        <f>0</f>
        <v>0</v>
      </c>
      <c r="Q40" s="11">
        <f>0</f>
        <v>0</v>
      </c>
    </row>
    <row r="41" spans="1:17" ht="35.25" customHeight="1">
      <c r="A41" s="27" t="s">
        <v>38</v>
      </c>
      <c r="B41" s="22">
        <f>9084913.18</f>
        <v>9084913.18</v>
      </c>
      <c r="C41" s="22">
        <f>9084913.18</f>
        <v>9084913.18</v>
      </c>
      <c r="D41" s="22">
        <f>834957.41</f>
        <v>834957.41</v>
      </c>
      <c r="E41" s="22">
        <f>50000</f>
        <v>50000</v>
      </c>
      <c r="F41" s="22">
        <f>0</f>
        <v>0</v>
      </c>
      <c r="G41" s="22">
        <f>784957.41</f>
        <v>784957.41</v>
      </c>
      <c r="H41" s="22">
        <f>0</f>
        <v>0</v>
      </c>
      <c r="I41" s="22">
        <f>0</f>
        <v>0</v>
      </c>
      <c r="J41" s="22">
        <f>173174.2</f>
        <v>173174.2</v>
      </c>
      <c r="K41" s="22">
        <f>5025135</f>
        <v>5025135</v>
      </c>
      <c r="L41" s="22">
        <f>1227019.88</f>
        <v>1227019.88</v>
      </c>
      <c r="M41" s="22">
        <f>1778534.69</f>
        <v>1778534.69</v>
      </c>
      <c r="N41" s="22">
        <f>46092</f>
        <v>46092</v>
      </c>
      <c r="O41" s="22">
        <f>0</f>
        <v>0</v>
      </c>
      <c r="P41" s="22">
        <f>0</f>
        <v>0</v>
      </c>
      <c r="Q41" s="22">
        <f>0</f>
        <v>0</v>
      </c>
    </row>
    <row r="42" spans="1:17" ht="28.5" customHeight="1">
      <c r="A42" s="17" t="s">
        <v>27</v>
      </c>
      <c r="B42" s="23">
        <f>98715.31</f>
        <v>98715.31</v>
      </c>
      <c r="C42" s="23">
        <f>98715.31</f>
        <v>98715.31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6000</f>
        <v>6000</v>
      </c>
      <c r="K42" s="23">
        <f>0</f>
        <v>0</v>
      </c>
      <c r="L42" s="23">
        <f>81826.5</f>
        <v>81826.5</v>
      </c>
      <c r="M42" s="23">
        <f>10888.81</f>
        <v>10888.81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8.5" customHeight="1">
      <c r="A43" s="17" t="s">
        <v>28</v>
      </c>
      <c r="B43" s="23">
        <f>8986197.87</f>
        <v>8986197.87</v>
      </c>
      <c r="C43" s="23">
        <f>8986197.87</f>
        <v>8986197.87</v>
      </c>
      <c r="D43" s="23">
        <f>834957.41</f>
        <v>834957.41</v>
      </c>
      <c r="E43" s="23">
        <f>50000</f>
        <v>50000</v>
      </c>
      <c r="F43" s="23">
        <f>0</f>
        <v>0</v>
      </c>
      <c r="G43" s="23">
        <f>784957.41</f>
        <v>784957.41</v>
      </c>
      <c r="H43" s="23">
        <f>0</f>
        <v>0</v>
      </c>
      <c r="I43" s="23">
        <f>0</f>
        <v>0</v>
      </c>
      <c r="J43" s="23">
        <f>167174.2</f>
        <v>167174.2</v>
      </c>
      <c r="K43" s="23">
        <f>5025135</f>
        <v>5025135</v>
      </c>
      <c r="L43" s="23">
        <f>1145193.38</f>
        <v>1145193.38</v>
      </c>
      <c r="M43" s="23">
        <f>1767645.88</f>
        <v>1767645.88</v>
      </c>
      <c r="N43" s="23">
        <f>46092</f>
        <v>46092</v>
      </c>
      <c r="O43" s="23">
        <f>0</f>
        <v>0</v>
      </c>
      <c r="P43" s="23">
        <f>0</f>
        <v>0</v>
      </c>
      <c r="Q43" s="23">
        <f>0</f>
        <v>0</v>
      </c>
    </row>
    <row r="44" spans="1:17" ht="28.5" customHeight="1">
      <c r="A44" s="27" t="s">
        <v>39</v>
      </c>
      <c r="B44" s="22">
        <f>1113553191</f>
        <v>1113553191</v>
      </c>
      <c r="C44" s="22">
        <f>1113546414.02</f>
        <v>1113546414.02</v>
      </c>
      <c r="D44" s="22">
        <f>427076175.84</f>
        <v>427076175.84</v>
      </c>
      <c r="E44" s="22">
        <f>1845678.79</f>
        <v>1845678.79</v>
      </c>
      <c r="F44" s="22">
        <f>3013017.28</f>
        <v>3013017.28</v>
      </c>
      <c r="G44" s="22">
        <f>421405116.17</f>
        <v>421405116.17</v>
      </c>
      <c r="H44" s="22">
        <f>812363.6</f>
        <v>812363.6</v>
      </c>
      <c r="I44" s="22">
        <f>0</f>
        <v>0</v>
      </c>
      <c r="J44" s="22">
        <f>4113315.15</f>
        <v>4113315.15</v>
      </c>
      <c r="K44" s="22">
        <f>2063300.74</f>
        <v>2063300.74</v>
      </c>
      <c r="L44" s="22">
        <f>348967794.06</f>
        <v>348967794.06</v>
      </c>
      <c r="M44" s="22">
        <f>297245941.33</f>
        <v>297245941.33</v>
      </c>
      <c r="N44" s="22">
        <f>34079886.9</f>
        <v>34079886.9</v>
      </c>
      <c r="O44" s="22">
        <f>6776.98</f>
        <v>6776.98</v>
      </c>
      <c r="P44" s="22">
        <f>3883.66</f>
        <v>3883.66</v>
      </c>
      <c r="Q44" s="22">
        <f>2893.32</f>
        <v>2893.32</v>
      </c>
    </row>
    <row r="45" spans="1:17" ht="32.25" customHeight="1">
      <c r="A45" s="17" t="s">
        <v>29</v>
      </c>
      <c r="B45" s="23">
        <f>108681279.64</f>
        <v>108681279.64</v>
      </c>
      <c r="C45" s="23">
        <f>108681279.64</f>
        <v>108681279.64</v>
      </c>
      <c r="D45" s="23">
        <f>39083662.09</f>
        <v>39083662.09</v>
      </c>
      <c r="E45" s="23">
        <f>1420660.74</f>
        <v>1420660.74</v>
      </c>
      <c r="F45" s="23">
        <f>73300</f>
        <v>73300</v>
      </c>
      <c r="G45" s="23">
        <f>37589701.35</f>
        <v>37589701.35</v>
      </c>
      <c r="H45" s="23">
        <f>0</f>
        <v>0</v>
      </c>
      <c r="I45" s="23">
        <f>0</f>
        <v>0</v>
      </c>
      <c r="J45" s="23">
        <f>26817.24</f>
        <v>26817.24</v>
      </c>
      <c r="K45" s="23">
        <f>0</f>
        <v>0</v>
      </c>
      <c r="L45" s="23">
        <f>39509874.47</f>
        <v>39509874.47</v>
      </c>
      <c r="M45" s="23">
        <f>22648638.78</f>
        <v>22648638.78</v>
      </c>
      <c r="N45" s="23">
        <f>7412287.06</f>
        <v>7412287.06</v>
      </c>
      <c r="O45" s="23">
        <f>0</f>
        <v>0</v>
      </c>
      <c r="P45" s="23">
        <f>0</f>
        <v>0</v>
      </c>
      <c r="Q45" s="23">
        <f>0</f>
        <v>0</v>
      </c>
    </row>
    <row r="46" spans="1:17" ht="32.25" customHeight="1">
      <c r="A46" s="17" t="s">
        <v>30</v>
      </c>
      <c r="B46" s="23">
        <f>1004871911.36</f>
        <v>1004871911.36</v>
      </c>
      <c r="C46" s="23">
        <f>1004865134.38</f>
        <v>1004865134.38</v>
      </c>
      <c r="D46" s="23">
        <f>387992513.75</f>
        <v>387992513.75</v>
      </c>
      <c r="E46" s="23">
        <f>425018.05</f>
        <v>425018.05</v>
      </c>
      <c r="F46" s="23">
        <f>2939717.28</f>
        <v>2939717.28</v>
      </c>
      <c r="G46" s="23">
        <f>383815414.82</f>
        <v>383815414.82</v>
      </c>
      <c r="H46" s="23">
        <f>812363.6</f>
        <v>812363.6</v>
      </c>
      <c r="I46" s="23">
        <f>0</f>
        <v>0</v>
      </c>
      <c r="J46" s="23">
        <f>4086497.91</f>
        <v>4086497.91</v>
      </c>
      <c r="K46" s="23">
        <f>2063300.74</f>
        <v>2063300.74</v>
      </c>
      <c r="L46" s="23">
        <f>309457919.59</f>
        <v>309457919.59</v>
      </c>
      <c r="M46" s="23">
        <f>274597302.55</f>
        <v>274597302.55</v>
      </c>
      <c r="N46" s="23">
        <f>26667599.84</f>
        <v>26667599.84</v>
      </c>
      <c r="O46" s="23">
        <f>6776.98</f>
        <v>6776.98</v>
      </c>
      <c r="P46" s="23">
        <f>3883.66</f>
        <v>3883.66</v>
      </c>
      <c r="Q46" s="23">
        <f>2893.32</f>
        <v>2893.32</v>
      </c>
    </row>
    <row r="47" spans="1:17" ht="35.25" customHeight="1">
      <c r="A47" s="27" t="s">
        <v>40</v>
      </c>
      <c r="B47" s="22">
        <f>62901929002.3</f>
        <v>62901929002.3</v>
      </c>
      <c r="C47" s="22">
        <f>62901739095.69</f>
        <v>62901739095.69</v>
      </c>
      <c r="D47" s="22">
        <f>34471690.96</f>
        <v>34471690.96</v>
      </c>
      <c r="E47" s="22">
        <f>542371.37</f>
        <v>542371.37</v>
      </c>
      <c r="F47" s="22">
        <f>33752.92</f>
        <v>33752.92</v>
      </c>
      <c r="G47" s="22">
        <f>33895566.67</f>
        <v>33895566.67</v>
      </c>
      <c r="H47" s="22">
        <f>0</f>
        <v>0</v>
      </c>
      <c r="I47" s="22">
        <f>7676618.64</f>
        <v>7676618.64</v>
      </c>
      <c r="J47" s="22">
        <f>62856093317.69</f>
        <v>62856093317.69</v>
      </c>
      <c r="K47" s="22">
        <f>11917</f>
        <v>11917</v>
      </c>
      <c r="L47" s="22">
        <f>2357828.08</f>
        <v>2357828.08</v>
      </c>
      <c r="M47" s="22">
        <f>930705.88</f>
        <v>930705.88</v>
      </c>
      <c r="N47" s="22">
        <f>197017.44</f>
        <v>197017.44</v>
      </c>
      <c r="O47" s="22">
        <f>189906.61</f>
        <v>189906.61</v>
      </c>
      <c r="P47" s="22">
        <f>189906.61</f>
        <v>189906.61</v>
      </c>
      <c r="Q47" s="22">
        <f>0</f>
        <v>0</v>
      </c>
    </row>
    <row r="48" spans="1:17" ht="28.5" customHeight="1">
      <c r="A48" s="17" t="s">
        <v>31</v>
      </c>
      <c r="B48" s="23">
        <f>26730617.11</f>
        <v>26730617.11</v>
      </c>
      <c r="C48" s="23">
        <f>26730617.11</f>
        <v>26730617.11</v>
      </c>
      <c r="D48" s="23">
        <f>26730617.11</f>
        <v>26730617.11</v>
      </c>
      <c r="E48" s="23">
        <f>0</f>
        <v>0</v>
      </c>
      <c r="F48" s="23">
        <f>0</f>
        <v>0</v>
      </c>
      <c r="G48" s="23">
        <f>26730617.11</f>
        <v>26730617.11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8.5" customHeight="1">
      <c r="A49" s="17" t="s">
        <v>32</v>
      </c>
      <c r="B49" s="23">
        <f>53376233110.35</f>
        <v>53376233110.35</v>
      </c>
      <c r="C49" s="23">
        <f>53376230954.75</f>
        <v>53376230954.75</v>
      </c>
      <c r="D49" s="23">
        <f>7483406.96</f>
        <v>7483406.96</v>
      </c>
      <c r="E49" s="23">
        <f>410753.32</f>
        <v>410753.32</v>
      </c>
      <c r="F49" s="23">
        <f>6490</f>
        <v>6490</v>
      </c>
      <c r="G49" s="23">
        <f>7066163.64</f>
        <v>7066163.64</v>
      </c>
      <c r="H49" s="23">
        <f>0</f>
        <v>0</v>
      </c>
      <c r="I49" s="23">
        <f>7676618.64</f>
        <v>7676618.64</v>
      </c>
      <c r="J49" s="23">
        <f>53358077040.57</f>
        <v>53358077040.57</v>
      </c>
      <c r="K49" s="23">
        <f>3129.9</f>
        <v>3129.9</v>
      </c>
      <c r="L49" s="23">
        <f>1878764.14</f>
        <v>1878764.14</v>
      </c>
      <c r="M49" s="23">
        <f>914977.1</f>
        <v>914977.1</v>
      </c>
      <c r="N49" s="23">
        <f>197017.44</f>
        <v>197017.44</v>
      </c>
      <c r="O49" s="23">
        <f>2155.6</f>
        <v>2155.6</v>
      </c>
      <c r="P49" s="23">
        <f>2155.6</f>
        <v>2155.6</v>
      </c>
      <c r="Q49" s="23">
        <f>0</f>
        <v>0</v>
      </c>
    </row>
    <row r="50" spans="1:17" ht="28.5" customHeight="1">
      <c r="A50" s="17" t="s">
        <v>33</v>
      </c>
      <c r="B50" s="23">
        <f>9498965274.84</f>
        <v>9498965274.84</v>
      </c>
      <c r="C50" s="23">
        <f>9498777523.83</f>
        <v>9498777523.83</v>
      </c>
      <c r="D50" s="23">
        <f>257666.89</f>
        <v>257666.89</v>
      </c>
      <c r="E50" s="23">
        <f>131618.05</f>
        <v>131618.05</v>
      </c>
      <c r="F50" s="23">
        <f>27262.92</f>
        <v>27262.92</v>
      </c>
      <c r="G50" s="23">
        <f>98785.92</f>
        <v>98785.92</v>
      </c>
      <c r="H50" s="23">
        <f>0</f>
        <v>0</v>
      </c>
      <c r="I50" s="23">
        <f>0</f>
        <v>0</v>
      </c>
      <c r="J50" s="23">
        <f>9498016277.12</f>
        <v>9498016277.12</v>
      </c>
      <c r="K50" s="23">
        <f>8787.1</f>
        <v>8787.1</v>
      </c>
      <c r="L50" s="23">
        <f>479063.94</f>
        <v>479063.94</v>
      </c>
      <c r="M50" s="23">
        <f>15728.78</f>
        <v>15728.78</v>
      </c>
      <c r="N50" s="23">
        <f>0</f>
        <v>0</v>
      </c>
      <c r="O50" s="23">
        <f>187751.01</f>
        <v>187751.01</v>
      </c>
      <c r="P50" s="23">
        <f>187751.01</f>
        <v>187751.01</v>
      </c>
      <c r="Q50" s="23">
        <f>0</f>
        <v>0</v>
      </c>
    </row>
    <row r="51" spans="1:17" ht="35.25" customHeight="1">
      <c r="A51" s="27" t="s">
        <v>41</v>
      </c>
      <c r="B51" s="22">
        <f>20383078795.39</f>
        <v>20383078795.39</v>
      </c>
      <c r="C51" s="22">
        <f>20344177620.18</f>
        <v>20344177620.18</v>
      </c>
      <c r="D51" s="22">
        <f>488497400.68</f>
        <v>488497400.68</v>
      </c>
      <c r="E51" s="22">
        <f>100043269.74</f>
        <v>100043269.74</v>
      </c>
      <c r="F51" s="22">
        <f>14046508.75</f>
        <v>14046508.75</v>
      </c>
      <c r="G51" s="22">
        <f>369036823.39</f>
        <v>369036823.39</v>
      </c>
      <c r="H51" s="22">
        <f>5370798.8</f>
        <v>5370798.8</v>
      </c>
      <c r="I51" s="22">
        <f>465477.32</f>
        <v>465477.32</v>
      </c>
      <c r="J51" s="22">
        <f>4864838.83</f>
        <v>4864838.83</v>
      </c>
      <c r="K51" s="22">
        <f>16662863.56</f>
        <v>16662863.56</v>
      </c>
      <c r="L51" s="22">
        <f>5297317274.74</f>
        <v>5297317274.74</v>
      </c>
      <c r="M51" s="22">
        <f>14400294188.32</f>
        <v>14400294188.32</v>
      </c>
      <c r="N51" s="22">
        <f>136075576.73</f>
        <v>136075576.73</v>
      </c>
      <c r="O51" s="22">
        <f>38901175.21</f>
        <v>38901175.21</v>
      </c>
      <c r="P51" s="22">
        <f>23639223.32</f>
        <v>23639223.32</v>
      </c>
      <c r="Q51" s="22">
        <f>15261951.89</f>
        <v>15261951.89</v>
      </c>
    </row>
    <row r="52" spans="1:17" ht="28.5" customHeight="1">
      <c r="A52" s="17" t="s">
        <v>34</v>
      </c>
      <c r="B52" s="23">
        <f>5933499240.32</f>
        <v>5933499240.32</v>
      </c>
      <c r="C52" s="23">
        <f>5931704880.49</f>
        <v>5931704880.49</v>
      </c>
      <c r="D52" s="23">
        <f>75535867.17</f>
        <v>75535867.17</v>
      </c>
      <c r="E52" s="23">
        <f>1342149.7</f>
        <v>1342149.7</v>
      </c>
      <c r="F52" s="23">
        <f>514429.06</f>
        <v>514429.06</v>
      </c>
      <c r="G52" s="23">
        <f>72987714.17</f>
        <v>72987714.17</v>
      </c>
      <c r="H52" s="23">
        <f>691574.24</f>
        <v>691574.24</v>
      </c>
      <c r="I52" s="23">
        <f>0</f>
        <v>0</v>
      </c>
      <c r="J52" s="23">
        <f>283939.7</f>
        <v>283939.7</v>
      </c>
      <c r="K52" s="23">
        <f>2865079.09</f>
        <v>2865079.09</v>
      </c>
      <c r="L52" s="23">
        <f>783591421.01</f>
        <v>783591421.01</v>
      </c>
      <c r="M52" s="23">
        <f>5028915271.4</f>
        <v>5028915271.4</v>
      </c>
      <c r="N52" s="23">
        <f>40513302.12</f>
        <v>40513302.12</v>
      </c>
      <c r="O52" s="23">
        <f>1794359.83</f>
        <v>1794359.83</v>
      </c>
      <c r="P52" s="23">
        <f>223908.75</f>
        <v>223908.75</v>
      </c>
      <c r="Q52" s="23">
        <f>1570451.08</f>
        <v>1570451.08</v>
      </c>
    </row>
    <row r="53" spans="1:17" ht="28.5" customHeight="1">
      <c r="A53" s="17" t="s">
        <v>35</v>
      </c>
      <c r="B53" s="23">
        <f>14449579555.07</f>
        <v>14449579555.07</v>
      </c>
      <c r="C53" s="23">
        <f>14412472739.69</f>
        <v>14412472739.69</v>
      </c>
      <c r="D53" s="23">
        <f>412961533.51</f>
        <v>412961533.51</v>
      </c>
      <c r="E53" s="23">
        <f>98701120.04</f>
        <v>98701120.04</v>
      </c>
      <c r="F53" s="23">
        <f>13532079.69</f>
        <v>13532079.69</v>
      </c>
      <c r="G53" s="23">
        <f>296049109.22</f>
        <v>296049109.22</v>
      </c>
      <c r="H53" s="23">
        <f>4679224.56</f>
        <v>4679224.56</v>
      </c>
      <c r="I53" s="23">
        <f>465477.32</f>
        <v>465477.32</v>
      </c>
      <c r="J53" s="23">
        <f>4580899.13</f>
        <v>4580899.13</v>
      </c>
      <c r="K53" s="23">
        <f>13797784.47</f>
        <v>13797784.47</v>
      </c>
      <c r="L53" s="23">
        <f>4513725853.73</f>
        <v>4513725853.73</v>
      </c>
      <c r="M53" s="23">
        <f>9371378916.92</f>
        <v>9371378916.92</v>
      </c>
      <c r="N53" s="23">
        <f>95562274.61</f>
        <v>95562274.61</v>
      </c>
      <c r="O53" s="23">
        <f>37106815.38</f>
        <v>37106815.38</v>
      </c>
      <c r="P53" s="23">
        <f>23415314.57</f>
        <v>23415314.57</v>
      </c>
      <c r="Q53" s="23">
        <f>13691500.81</f>
        <v>13691500.81</v>
      </c>
    </row>
    <row r="54" spans="1:17" ht="35.25" customHeight="1">
      <c r="A54" s="27" t="s">
        <v>42</v>
      </c>
      <c r="B54" s="22">
        <f>24642871542.25</f>
        <v>24642871542.25</v>
      </c>
      <c r="C54" s="22">
        <f>24628799986.7</f>
        <v>24628799986.7</v>
      </c>
      <c r="D54" s="22">
        <f>2715682842.32</f>
        <v>2715682842.32</v>
      </c>
      <c r="E54" s="22">
        <f>1719822569.57</f>
        <v>1719822569.57</v>
      </c>
      <c r="F54" s="22">
        <f>117918267.84</f>
        <v>117918267.84</v>
      </c>
      <c r="G54" s="22">
        <f>842255452.64</f>
        <v>842255452.64</v>
      </c>
      <c r="H54" s="22">
        <f>35686552.27</f>
        <v>35686552.27</v>
      </c>
      <c r="I54" s="22">
        <f>3064218.81</f>
        <v>3064218.81</v>
      </c>
      <c r="J54" s="22">
        <f>40015877.47</f>
        <v>40015877.47</v>
      </c>
      <c r="K54" s="22">
        <f>116772496.11</f>
        <v>116772496.11</v>
      </c>
      <c r="L54" s="22">
        <f>14408964479.63</f>
        <v>14408964479.63</v>
      </c>
      <c r="M54" s="22">
        <f>7120338226.73</f>
        <v>7120338226.73</v>
      </c>
      <c r="N54" s="22">
        <f>223961845.63</f>
        <v>223961845.63</v>
      </c>
      <c r="O54" s="22">
        <f>14071555.55</f>
        <v>14071555.55</v>
      </c>
      <c r="P54" s="22">
        <f>12987322.37</f>
        <v>12987322.37</v>
      </c>
      <c r="Q54" s="22">
        <f>1084233.18</f>
        <v>1084233.18</v>
      </c>
    </row>
    <row r="55" spans="1:17" ht="28.5" customHeight="1">
      <c r="A55" s="17" t="s">
        <v>36</v>
      </c>
      <c r="B55" s="23">
        <f>1406429238.36</f>
        <v>1406429238.36</v>
      </c>
      <c r="C55" s="23">
        <f>1406101859.21</f>
        <v>1406101859.21</v>
      </c>
      <c r="D55" s="23">
        <f>101953844.01</f>
        <v>101953844.01</v>
      </c>
      <c r="E55" s="23">
        <f>7565991.07</f>
        <v>7565991.07</v>
      </c>
      <c r="F55" s="23">
        <f>2575280.69</f>
        <v>2575280.69</v>
      </c>
      <c r="G55" s="23">
        <f>88923269.15</f>
        <v>88923269.15</v>
      </c>
      <c r="H55" s="23">
        <f>2889303.1</f>
        <v>2889303.1</v>
      </c>
      <c r="I55" s="23">
        <f>15600.43</f>
        <v>15600.43</v>
      </c>
      <c r="J55" s="23">
        <f>821681.9</f>
        <v>821681.9</v>
      </c>
      <c r="K55" s="23">
        <f>35002505.89</f>
        <v>35002505.89</v>
      </c>
      <c r="L55" s="23">
        <f>603313615.1</f>
        <v>603313615.1</v>
      </c>
      <c r="M55" s="23">
        <f>644815898.59</f>
        <v>644815898.59</v>
      </c>
      <c r="N55" s="23">
        <f>20178713.29</f>
        <v>20178713.29</v>
      </c>
      <c r="O55" s="23">
        <f>327379.15</f>
        <v>327379.15</v>
      </c>
      <c r="P55" s="23">
        <f>254773.23</f>
        <v>254773.23</v>
      </c>
      <c r="Q55" s="23">
        <f>72605.92</f>
        <v>72605.92</v>
      </c>
    </row>
    <row r="56" spans="1:17" ht="47.25" customHeight="1">
      <c r="A56" s="17" t="s">
        <v>76</v>
      </c>
      <c r="B56" s="23">
        <f>16438939807.63</f>
        <v>16438939807.63</v>
      </c>
      <c r="C56" s="23">
        <f>16427894850.7</f>
        <v>16427894850.7</v>
      </c>
      <c r="D56" s="23">
        <f>1581272345.88</f>
        <v>1581272345.88</v>
      </c>
      <c r="E56" s="23">
        <f>1231259356.87</f>
        <v>1231259356.87</v>
      </c>
      <c r="F56" s="23">
        <f>73148777.86</f>
        <v>73148777.86</v>
      </c>
      <c r="G56" s="23">
        <f>255086918.79</f>
        <v>255086918.79</v>
      </c>
      <c r="H56" s="23">
        <f>21777292.36</f>
        <v>21777292.36</v>
      </c>
      <c r="I56" s="23">
        <f>2821575.96</f>
        <v>2821575.96</v>
      </c>
      <c r="J56" s="23">
        <f>31977147.28</f>
        <v>31977147.28</v>
      </c>
      <c r="K56" s="23">
        <f>50575027.57</f>
        <v>50575027.57</v>
      </c>
      <c r="L56" s="23">
        <f>10685335906.96</f>
        <v>10685335906.96</v>
      </c>
      <c r="M56" s="23">
        <f>4010338451.73</f>
        <v>4010338451.73</v>
      </c>
      <c r="N56" s="23">
        <f>65574395.32</f>
        <v>65574395.32</v>
      </c>
      <c r="O56" s="23">
        <f>11044956.93</f>
        <v>11044956.93</v>
      </c>
      <c r="P56" s="23">
        <f>10689444.31</f>
        <v>10689444.31</v>
      </c>
      <c r="Q56" s="23">
        <f>355512.62</f>
        <v>355512.62</v>
      </c>
    </row>
    <row r="57" spans="1:17" ht="35.25" customHeight="1">
      <c r="A57" s="17" t="s">
        <v>37</v>
      </c>
      <c r="B57" s="23">
        <f>6797502496.26</f>
        <v>6797502496.26</v>
      </c>
      <c r="C57" s="23">
        <f>6794803276.79</f>
        <v>6794803276.79</v>
      </c>
      <c r="D57" s="23">
        <f>1032456652.43</f>
        <v>1032456652.43</v>
      </c>
      <c r="E57" s="23">
        <f>480997221.63</f>
        <v>480997221.63</v>
      </c>
      <c r="F57" s="23">
        <f>42194209.29</f>
        <v>42194209.29</v>
      </c>
      <c r="G57" s="23">
        <f>498245264.7</f>
        <v>498245264.7</v>
      </c>
      <c r="H57" s="23">
        <f>11019956.81</f>
        <v>11019956.81</v>
      </c>
      <c r="I57" s="23">
        <f>227042.42</f>
        <v>227042.42</v>
      </c>
      <c r="J57" s="23">
        <f>7217048.29</f>
        <v>7217048.29</v>
      </c>
      <c r="K57" s="23">
        <f>31194962.65</f>
        <v>31194962.65</v>
      </c>
      <c r="L57" s="23">
        <f>3120314957.57</f>
        <v>3120314957.57</v>
      </c>
      <c r="M57" s="23">
        <f>2465183876.41</f>
        <v>2465183876.41</v>
      </c>
      <c r="N57" s="23">
        <f>138208737.02</f>
        <v>138208737.02</v>
      </c>
      <c r="O57" s="23">
        <f>2699219.47</f>
        <v>2699219.47</v>
      </c>
      <c r="P57" s="23">
        <f>2043104.83</f>
        <v>2043104.83</v>
      </c>
      <c r="Q57" s="23">
        <f>656114.64</f>
        <v>656114.64</v>
      </c>
    </row>
    <row r="68" spans="1:13" ht="75" customHeight="1">
      <c r="A68" s="35" t="s">
        <v>77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 customHeight="1">
      <c r="B70" s="36" t="s">
        <v>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2" spans="2:12" ht="13.5" customHeight="1">
      <c r="B72" s="65" t="s">
        <v>0</v>
      </c>
      <c r="C72" s="66"/>
      <c r="D72" s="66"/>
      <c r="E72" s="67"/>
      <c r="F72" s="53" t="s">
        <v>66</v>
      </c>
      <c r="G72" s="44" t="s">
        <v>72</v>
      </c>
      <c r="H72" s="45"/>
      <c r="I72" s="45"/>
      <c r="J72" s="45"/>
      <c r="K72" s="45"/>
      <c r="L72" s="46"/>
    </row>
    <row r="73" spans="2:12" ht="13.5" customHeight="1">
      <c r="B73" s="68"/>
      <c r="C73" s="69"/>
      <c r="D73" s="69"/>
      <c r="E73" s="70"/>
      <c r="F73" s="38"/>
      <c r="G73" s="28" t="s">
        <v>67</v>
      </c>
      <c r="H73" s="28" t="s">
        <v>64</v>
      </c>
      <c r="I73" s="28" t="s">
        <v>65</v>
      </c>
      <c r="J73" s="28" t="s">
        <v>68</v>
      </c>
      <c r="K73" s="28" t="s">
        <v>69</v>
      </c>
      <c r="L73" s="34" t="s">
        <v>70</v>
      </c>
    </row>
    <row r="74" spans="2:12" ht="13.5" customHeight="1">
      <c r="B74" s="68"/>
      <c r="C74" s="69"/>
      <c r="D74" s="69"/>
      <c r="E74" s="70"/>
      <c r="F74" s="38"/>
      <c r="G74" s="28"/>
      <c r="H74" s="28"/>
      <c r="I74" s="28"/>
      <c r="J74" s="28"/>
      <c r="K74" s="28"/>
      <c r="L74" s="34"/>
    </row>
    <row r="75" spans="2:12" ht="11.25" customHeight="1">
      <c r="B75" s="68"/>
      <c r="C75" s="69"/>
      <c r="D75" s="69"/>
      <c r="E75" s="70"/>
      <c r="F75" s="38"/>
      <c r="G75" s="28"/>
      <c r="H75" s="28"/>
      <c r="I75" s="28"/>
      <c r="J75" s="28"/>
      <c r="K75" s="28"/>
      <c r="L75" s="34"/>
    </row>
    <row r="76" spans="2:12" ht="20.25" customHeight="1">
      <c r="B76" s="71"/>
      <c r="C76" s="72"/>
      <c r="D76" s="72"/>
      <c r="E76" s="73"/>
      <c r="F76" s="39"/>
      <c r="G76" s="28"/>
      <c r="H76" s="28"/>
      <c r="I76" s="28"/>
      <c r="J76" s="28"/>
      <c r="K76" s="28"/>
      <c r="L76" s="34"/>
    </row>
    <row r="77" spans="2:12" ht="13.5" customHeight="1">
      <c r="B77" s="28">
        <v>1</v>
      </c>
      <c r="C77" s="28"/>
      <c r="D77" s="28"/>
      <c r="E77" s="28"/>
      <c r="F77" s="14">
        <v>2</v>
      </c>
      <c r="G77" s="14">
        <v>3</v>
      </c>
      <c r="H77" s="14">
        <v>4</v>
      </c>
      <c r="I77" s="14">
        <v>5</v>
      </c>
      <c r="J77" s="14">
        <v>6</v>
      </c>
      <c r="K77" s="14">
        <v>7</v>
      </c>
      <c r="L77" s="14">
        <v>8</v>
      </c>
    </row>
    <row r="78" spans="2:12" ht="33.75" customHeight="1">
      <c r="B78" s="50" t="s">
        <v>51</v>
      </c>
      <c r="C78" s="51"/>
      <c r="D78" s="51"/>
      <c r="E78" s="52"/>
      <c r="F78" s="21">
        <f>4805024307.97</f>
        <v>4805024307.97</v>
      </c>
      <c r="G78" s="21">
        <f>1832519572.19</f>
        <v>1832519572.19</v>
      </c>
      <c r="H78" s="21">
        <f>59097116.91</f>
        <v>59097116.91</v>
      </c>
      <c r="I78" s="21">
        <f>569452870.27</f>
        <v>569452870.27</v>
      </c>
      <c r="J78" s="21">
        <f>1189528321.08</f>
        <v>1189528321.08</v>
      </c>
      <c r="K78" s="21">
        <f>14441263.93</f>
        <v>14441263.93</v>
      </c>
      <c r="L78" s="21">
        <f>2972504735.78</f>
        <v>2972504735.78</v>
      </c>
    </row>
    <row r="79" spans="2:12" ht="33.75" customHeight="1">
      <c r="B79" s="47" t="s">
        <v>52</v>
      </c>
      <c r="C79" s="48"/>
      <c r="D79" s="48"/>
      <c r="E79" s="49"/>
      <c r="F79" s="24">
        <f>6152497.06</f>
        <v>6152497.06</v>
      </c>
      <c r="G79" s="24">
        <f>3866586.75</f>
        <v>3866586.75</v>
      </c>
      <c r="H79" s="24">
        <f>3866586.75</f>
        <v>3866586.75</v>
      </c>
      <c r="I79" s="24">
        <f>0</f>
        <v>0</v>
      </c>
      <c r="J79" s="24">
        <f>0</f>
        <v>0</v>
      </c>
      <c r="K79" s="24">
        <f>0</f>
        <v>0</v>
      </c>
      <c r="L79" s="24">
        <f>2285910.31</f>
        <v>2285910.31</v>
      </c>
    </row>
    <row r="80" spans="2:12" ht="33.75" customHeight="1">
      <c r="B80" s="47" t="s">
        <v>53</v>
      </c>
      <c r="C80" s="48"/>
      <c r="D80" s="48"/>
      <c r="E80" s="49"/>
      <c r="F80" s="24">
        <f>96501586.05</f>
        <v>96501586.05</v>
      </c>
      <c r="G80" s="24">
        <f>76629714.83</f>
        <v>76629714.83</v>
      </c>
      <c r="H80" s="24">
        <f>0</f>
        <v>0</v>
      </c>
      <c r="I80" s="24">
        <f>50547564.58</f>
        <v>50547564.58</v>
      </c>
      <c r="J80" s="24">
        <f>26082150.25</f>
        <v>26082150.25</v>
      </c>
      <c r="K80" s="24">
        <f>0</f>
        <v>0</v>
      </c>
      <c r="L80" s="24">
        <f>19871871.22</f>
        <v>19871871.22</v>
      </c>
    </row>
    <row r="81" spans="2:12" ht="22.5" customHeight="1">
      <c r="B81" s="47" t="s">
        <v>54</v>
      </c>
      <c r="C81" s="48"/>
      <c r="D81" s="48"/>
      <c r="E81" s="49"/>
      <c r="F81" s="24">
        <f>99864763.74</f>
        <v>99864763.74</v>
      </c>
      <c r="G81" s="24">
        <f>62227042.23</f>
        <v>62227042.23</v>
      </c>
      <c r="H81" s="24">
        <f>0</f>
        <v>0</v>
      </c>
      <c r="I81" s="24">
        <f>1321983.03</f>
        <v>1321983.03</v>
      </c>
      <c r="J81" s="24">
        <f>60905059.2</f>
        <v>60905059.2</v>
      </c>
      <c r="K81" s="24">
        <f>0</f>
        <v>0</v>
      </c>
      <c r="L81" s="24">
        <f>37637721.51</f>
        <v>37637721.51</v>
      </c>
    </row>
    <row r="82" spans="2:12" ht="33.75" customHeight="1">
      <c r="B82" s="47" t="s">
        <v>55</v>
      </c>
      <c r="C82" s="48"/>
      <c r="D82" s="48"/>
      <c r="E82" s="49"/>
      <c r="F82" s="24">
        <f>15142783.69</f>
        <v>15142783.69</v>
      </c>
      <c r="G82" s="24">
        <f>15042174.85</f>
        <v>15042174.85</v>
      </c>
      <c r="H82" s="24">
        <f>0</f>
        <v>0</v>
      </c>
      <c r="I82" s="24">
        <f>0</f>
        <v>0</v>
      </c>
      <c r="J82" s="24">
        <f>15042174.85</f>
        <v>15042174.85</v>
      </c>
      <c r="K82" s="24">
        <f>0</f>
        <v>0</v>
      </c>
      <c r="L82" s="24">
        <f>100608.84</f>
        <v>100608.84</v>
      </c>
    </row>
    <row r="83" spans="2:12" ht="33.75" customHeight="1">
      <c r="B83" s="47" t="s">
        <v>56</v>
      </c>
      <c r="C83" s="48"/>
      <c r="D83" s="48"/>
      <c r="E83" s="49"/>
      <c r="F83" s="24">
        <f>5725503.59</f>
        <v>5725503.59</v>
      </c>
      <c r="G83" s="24">
        <f>4287402.66</f>
        <v>4287402.66</v>
      </c>
      <c r="H83" s="24">
        <f>0</f>
        <v>0</v>
      </c>
      <c r="I83" s="24">
        <f>0</f>
        <v>0</v>
      </c>
      <c r="J83" s="24">
        <f>4287402.66</f>
        <v>4287402.66</v>
      </c>
      <c r="K83" s="24">
        <f>0</f>
        <v>0</v>
      </c>
      <c r="L83" s="24">
        <f>1438100.93</f>
        <v>1438100.93</v>
      </c>
    </row>
    <row r="84" spans="2:12" ht="33" customHeight="1">
      <c r="B84" s="50" t="s">
        <v>57</v>
      </c>
      <c r="C84" s="51"/>
      <c r="D84" s="51"/>
      <c r="E84" s="52"/>
      <c r="F84" s="21">
        <f>1404858.02</f>
        <v>1404858.02</v>
      </c>
      <c r="G84" s="21">
        <f>1385858.02</f>
        <v>1385858.02</v>
      </c>
      <c r="H84" s="21">
        <f>0</f>
        <v>0</v>
      </c>
      <c r="I84" s="21">
        <f>0</f>
        <v>0</v>
      </c>
      <c r="J84" s="21">
        <f>1385858.02</f>
        <v>1385858.02</v>
      </c>
      <c r="K84" s="21">
        <f>0</f>
        <v>0</v>
      </c>
      <c r="L84" s="21">
        <f>19000</f>
        <v>19000</v>
      </c>
    </row>
    <row r="87" spans="1:13" ht="75" customHeight="1">
      <c r="A87" s="35" t="s">
        <v>77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ht="13.5" customHeight="1">
      <c r="B88" s="3"/>
    </row>
    <row r="89" spans="2:11" ht="13.5" customHeight="1">
      <c r="B89" s="4"/>
      <c r="C89" s="58"/>
      <c r="D89" s="59"/>
      <c r="E89" s="59"/>
      <c r="F89" s="60"/>
      <c r="G89" s="58" t="s">
        <v>3</v>
      </c>
      <c r="H89" s="60"/>
      <c r="I89" s="58" t="s">
        <v>4</v>
      </c>
      <c r="J89" s="60"/>
      <c r="K89" s="4"/>
    </row>
    <row r="90" spans="2:11" ht="13.5" customHeight="1">
      <c r="B90" s="5"/>
      <c r="C90" s="50" t="s">
        <v>5</v>
      </c>
      <c r="D90" s="51"/>
      <c r="E90" s="51"/>
      <c r="F90" s="52"/>
      <c r="G90" s="54">
        <f>2695</f>
        <v>2695</v>
      </c>
      <c r="H90" s="55"/>
      <c r="I90" s="56">
        <f>12046951597.77</f>
        <v>12046951597.77</v>
      </c>
      <c r="J90" s="57"/>
      <c r="K90" s="6"/>
    </row>
    <row r="91" spans="2:11" ht="13.5" customHeight="1">
      <c r="B91" s="5"/>
      <c r="C91" s="47" t="s">
        <v>6</v>
      </c>
      <c r="D91" s="48"/>
      <c r="E91" s="48"/>
      <c r="F91" s="49"/>
      <c r="G91" s="61">
        <f>113</f>
        <v>113</v>
      </c>
      <c r="H91" s="62"/>
      <c r="I91" s="63">
        <f>-131895621.48</f>
        <v>-131895621.48</v>
      </c>
      <c r="J91" s="64"/>
      <c r="K91" s="6"/>
    </row>
    <row r="92" spans="2:11" ht="13.5" customHeight="1">
      <c r="B92" s="5"/>
      <c r="C92" s="50" t="s">
        <v>7</v>
      </c>
      <c r="D92" s="51"/>
      <c r="E92" s="51"/>
      <c r="F92" s="52"/>
      <c r="G92" s="54">
        <f>0</f>
        <v>0</v>
      </c>
      <c r="H92" s="55"/>
      <c r="I92" s="56">
        <f>0</f>
        <v>0</v>
      </c>
      <c r="J92" s="57"/>
      <c r="K92" s="6"/>
    </row>
  </sheetData>
  <sheetProtection/>
  <mergeCells count="75">
    <mergeCell ref="O6:Q6"/>
    <mergeCell ref="O7:O11"/>
    <mergeCell ref="A68:M68"/>
    <mergeCell ref="L35:L38"/>
    <mergeCell ref="P35:P38"/>
    <mergeCell ref="Q35:Q38"/>
    <mergeCell ref="N35:N38"/>
    <mergeCell ref="O35:O38"/>
    <mergeCell ref="D35:D38"/>
    <mergeCell ref="H7:H11"/>
    <mergeCell ref="B83:E83"/>
    <mergeCell ref="I90:J90"/>
    <mergeCell ref="B70:M70"/>
    <mergeCell ref="I89:J89"/>
    <mergeCell ref="B77:E77"/>
    <mergeCell ref="B72:E76"/>
    <mergeCell ref="B84:E84"/>
    <mergeCell ref="A87:M87"/>
    <mergeCell ref="B80:E80"/>
    <mergeCell ref="B81:E81"/>
    <mergeCell ref="G92:H92"/>
    <mergeCell ref="I92:J92"/>
    <mergeCell ref="C89:F89"/>
    <mergeCell ref="C90:F90"/>
    <mergeCell ref="C91:F91"/>
    <mergeCell ref="C92:F92"/>
    <mergeCell ref="G90:H90"/>
    <mergeCell ref="G89:H89"/>
    <mergeCell ref="G91:H91"/>
    <mergeCell ref="I91:J91"/>
    <mergeCell ref="B82:E82"/>
    <mergeCell ref="B79:E79"/>
    <mergeCell ref="M35:M38"/>
    <mergeCell ref="B78:E78"/>
    <mergeCell ref="F72:F76"/>
    <mergeCell ref="G73:G76"/>
    <mergeCell ref="G72:L72"/>
    <mergeCell ref="H73:H76"/>
    <mergeCell ref="I73:I76"/>
    <mergeCell ref="J73:J76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3:L76"/>
    <mergeCell ref="F35:F38"/>
    <mergeCell ref="A30:M30"/>
    <mergeCell ref="O34:Q34"/>
    <mergeCell ref="A32:M32"/>
    <mergeCell ref="B34:B38"/>
    <mergeCell ref="A34:A38"/>
    <mergeCell ref="C35:C38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K73:K76"/>
  </mergeCells>
  <printOptions/>
  <pageMargins left="0" right="0" top="0.1968503937007874" bottom="0.1968503937007874" header="0" footer="0"/>
  <pageSetup firstPageNumber="1" useFirstPageNumber="1" horizontalDpi="300" verticalDpi="300" orientation="landscape" paperSize="9" scale="67" r:id="rId1"/>
  <headerFooter alignWithMargins="0">
    <oddFooter>&amp;L&amp;D&amp;Rstrona &amp;P z 3</oddFooter>
  </headerFooter>
  <rowBreaks count="2" manualBreakCount="2">
    <brk id="2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Lipiński Jacek</cp:lastModifiedBy>
  <cp:lastPrinted>2016-08-26T11:29:32Z</cp:lastPrinted>
  <dcterms:created xsi:type="dcterms:W3CDTF">2001-05-17T08:58:03Z</dcterms:created>
  <dcterms:modified xsi:type="dcterms:W3CDTF">2018-05-25T10:39:40Z</dcterms:modified>
  <cp:category/>
  <cp:version/>
  <cp:contentType/>
  <cp:contentStatus/>
</cp:coreProperties>
</file>