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5\I kwartał\2025.05.17 Dane ostateczne\Zbiorówki_2025_k1_2025.05.17\Publikacja\"/>
    </mc:Choice>
  </mc:AlternateContent>
  <xr:revisionPtr revIDLastSave="0" documentId="13_ncr:1_{00B2E7A0-F5E0-4755-8F23-A99D19DD94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4" l="1"/>
  <c r="C109" i="4"/>
  <c r="C108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G70" i="4"/>
  <c r="F70" i="4"/>
  <c r="E70" i="4"/>
  <c r="D70" i="4"/>
  <c r="C70" i="4"/>
  <c r="G69" i="4"/>
  <c r="F69" i="4"/>
  <c r="E69" i="4"/>
  <c r="D69" i="4"/>
  <c r="C69" i="4"/>
  <c r="G65" i="4"/>
  <c r="F65" i="4"/>
  <c r="E65" i="4"/>
  <c r="D65" i="4"/>
  <c r="C65" i="4"/>
  <c r="G64" i="4"/>
  <c r="F64" i="4"/>
  <c r="E64" i="4"/>
  <c r="D64" i="4"/>
  <c r="C64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I58" i="4" s="1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1" i="4"/>
  <c r="H51" i="4"/>
  <c r="G51" i="4"/>
  <c r="F51" i="4"/>
  <c r="E51" i="4"/>
  <c r="D51" i="4"/>
  <c r="C51" i="4"/>
  <c r="I50" i="4"/>
  <c r="H50" i="4"/>
  <c r="H52" i="4" s="1"/>
  <c r="H58" i="4" s="1"/>
  <c r="G50" i="4"/>
  <c r="F50" i="4"/>
  <c r="E50" i="4"/>
  <c r="D50" i="4"/>
  <c r="C50" i="4"/>
  <c r="I49" i="4"/>
  <c r="H49" i="4"/>
  <c r="G49" i="4"/>
  <c r="F49" i="4"/>
  <c r="E49" i="4"/>
  <c r="D49" i="4"/>
  <c r="J57" i="4" s="1"/>
  <c r="C49" i="4"/>
  <c r="C52" i="4" s="1"/>
  <c r="D39" i="4"/>
  <c r="C39" i="4"/>
  <c r="D36" i="4"/>
  <c r="C36" i="4"/>
  <c r="D35" i="4"/>
  <c r="C35" i="4"/>
  <c r="D34" i="4"/>
  <c r="C34" i="4"/>
  <c r="D33" i="4"/>
  <c r="C33" i="4"/>
  <c r="K33" i="4" s="1"/>
  <c r="D32" i="4"/>
  <c r="J32" i="4" s="1"/>
  <c r="C32" i="4"/>
  <c r="D31" i="4"/>
  <c r="C31" i="4"/>
  <c r="D30" i="4"/>
  <c r="K30" i="4" s="1"/>
  <c r="C30" i="4"/>
  <c r="D29" i="4"/>
  <c r="C29" i="4"/>
  <c r="D28" i="4"/>
  <c r="C28" i="4"/>
  <c r="D27" i="4"/>
  <c r="C27" i="4"/>
  <c r="K27" i="4" s="1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K17" i="4" s="1"/>
  <c r="D16" i="4"/>
  <c r="C16" i="4"/>
  <c r="K16" i="4" s="1"/>
  <c r="D15" i="4"/>
  <c r="J15" i="4" s="1"/>
  <c r="C15" i="4"/>
  <c r="K15" i="4" s="1"/>
  <c r="D11" i="4"/>
  <c r="C11" i="4"/>
  <c r="D10" i="4"/>
  <c r="C10" i="4"/>
  <c r="D9" i="4"/>
  <c r="C9" i="4"/>
  <c r="D8" i="4"/>
  <c r="C8" i="4"/>
  <c r="D6" i="4"/>
  <c r="C6" i="4"/>
  <c r="K85" i="4"/>
  <c r="K56" i="4"/>
  <c r="K79" i="4"/>
  <c r="K18" i="4"/>
  <c r="K53" i="4"/>
  <c r="K91" i="4"/>
  <c r="K29" i="4"/>
  <c r="K8" i="4"/>
  <c r="K31" i="4"/>
  <c r="K9" i="4"/>
  <c r="K32" i="4"/>
  <c r="K24" i="4"/>
  <c r="K35" i="4"/>
  <c r="K77" i="4"/>
  <c r="K86" i="4"/>
  <c r="K11" i="4"/>
  <c r="K25" i="4"/>
  <c r="K36" i="4"/>
  <c r="K55" i="4"/>
  <c r="J78" i="4"/>
  <c r="J81" i="4"/>
  <c r="J85" i="4"/>
  <c r="J79" i="4"/>
  <c r="J87" i="4"/>
  <c r="J83" i="4"/>
  <c r="J84" i="4"/>
  <c r="J86" i="4"/>
  <c r="J77" i="4"/>
  <c r="J82" i="4"/>
  <c r="J80" i="4"/>
  <c r="J89" i="4"/>
  <c r="J91" i="4"/>
  <c r="J88" i="4"/>
  <c r="J92" i="4"/>
  <c r="J90" i="4"/>
  <c r="J93" i="4"/>
  <c r="K19" i="4"/>
  <c r="J56" i="4"/>
  <c r="K82" i="4"/>
  <c r="I52" i="4"/>
  <c r="K83" i="4"/>
  <c r="K92" i="4"/>
  <c r="K20" i="4"/>
  <c r="K84" i="4"/>
  <c r="K23" i="4"/>
  <c r="K57" i="4"/>
  <c r="K10" i="4"/>
  <c r="K78" i="4"/>
  <c r="D108" i="4"/>
  <c r="B1" i="4" s="1"/>
  <c r="K26" i="4"/>
  <c r="K39" i="4"/>
  <c r="K90" i="4"/>
  <c r="K21" i="4"/>
  <c r="E52" i="4"/>
  <c r="E58" i="4"/>
  <c r="K51" i="4"/>
  <c r="K80" i="4"/>
  <c r="D14" i="4"/>
  <c r="D13" i="4" s="1"/>
  <c r="F52" i="4"/>
  <c r="F58" i="4"/>
  <c r="K87" i="4"/>
  <c r="K93" i="4"/>
  <c r="K6" i="4"/>
  <c r="C38" i="4"/>
  <c r="K22" i="4"/>
  <c r="K28" i="4"/>
  <c r="K34" i="4"/>
  <c r="G52" i="4"/>
  <c r="G58" i="4"/>
  <c r="K54" i="4"/>
  <c r="K81" i="4"/>
  <c r="J18" i="4"/>
  <c r="J35" i="4"/>
  <c r="J24" i="4"/>
  <c r="J39" i="4"/>
  <c r="J33" i="4"/>
  <c r="D38" i="4"/>
  <c r="J38" i="4" s="1"/>
  <c r="D40" i="4"/>
  <c r="J40" i="4"/>
  <c r="J6" i="4"/>
  <c r="J11" i="4"/>
  <c r="J34" i="4"/>
  <c r="J10" i="4"/>
  <c r="J29" i="4"/>
  <c r="J21" i="4"/>
  <c r="J36" i="4"/>
  <c r="J9" i="4"/>
  <c r="J8" i="4"/>
  <c r="J23" i="4"/>
  <c r="J28" i="4"/>
  <c r="J25" i="4"/>
  <c r="J31" i="4"/>
  <c r="J19" i="4"/>
  <c r="J22" i="4"/>
  <c r="J27" i="4"/>
  <c r="J20" i="4"/>
  <c r="J17" i="4"/>
  <c r="J26" i="4"/>
  <c r="J16" i="4"/>
  <c r="K88" i="4"/>
  <c r="K50" i="4"/>
  <c r="K89" i="4"/>
  <c r="B73" i="4" l="1"/>
  <c r="B42" i="4"/>
  <c r="J55" i="4"/>
  <c r="J51" i="4"/>
  <c r="J54" i="4"/>
  <c r="J49" i="4"/>
  <c r="D52" i="4"/>
  <c r="D58" i="4" s="1"/>
  <c r="J58" i="4" s="1"/>
  <c r="J53" i="4"/>
  <c r="J50" i="4"/>
  <c r="D59" i="4"/>
  <c r="C58" i="4"/>
  <c r="K49" i="4"/>
  <c r="C59" i="4"/>
  <c r="J30" i="4"/>
  <c r="D7" i="4"/>
  <c r="J13" i="4"/>
  <c r="J14" i="4"/>
  <c r="C14" i="4"/>
  <c r="K38" i="4"/>
  <c r="C40" i="4"/>
  <c r="K40" i="4" s="1"/>
  <c r="K52" i="4" l="1"/>
  <c r="K58" i="4"/>
  <c r="J52" i="4"/>
  <c r="D12" i="4"/>
  <c r="L8" i="4"/>
  <c r="L10" i="4"/>
  <c r="L9" i="4"/>
  <c r="L11" i="4"/>
  <c r="L7" i="4"/>
  <c r="J7" i="4"/>
  <c r="K14" i="4"/>
  <c r="C13" i="4"/>
  <c r="L12" i="4" l="1"/>
  <c r="J12" i="4"/>
  <c r="K13" i="4"/>
  <c r="C7" i="4"/>
  <c r="C12" i="4" l="1"/>
  <c r="K12" i="4" s="1"/>
  <c r="K7" i="4"/>
</calcChain>
</file>

<file path=xl/sharedStrings.xml><?xml version="1.0" encoding="utf-8"?>
<sst xmlns="http://schemas.openxmlformats.org/spreadsheetml/2006/main" count="394" uniqueCount="105">
  <si>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</si>
  <si>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</si>
  <si>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</si>
  <si>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</si>
  <si>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</si>
  <si>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</si>
  <si>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</si>
  <si>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</si>
  <si>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</si>
  <si>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</si>
  <si>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</si>
  <si>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</si>
  <si>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</si>
  <si>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</si>
  <si>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</si>
  <si>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</si>
  <si>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</si>
  <si>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</si>
  <si>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</si>
  <si>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</si>
  <si>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</si>
  <si>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</si>
  <si>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</si>
  <si>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</si>
  <si>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t>pozostałe wydatki</t>
  </si>
  <si>
    <t>wydatki na obsługę długu</t>
  </si>
  <si>
    <t>dotacje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</si>
  <si>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</si>
  <si>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</si>
  <si>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</si>
  <si>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</si>
  <si>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</si>
  <si>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</si>
  <si>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</si>
  <si>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</si>
  <si>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</si>
  <si>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</si>
  <si>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</si>
  <si>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</si>
  <si>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Dotacje §§ 200 i 620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</si>
  <si>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</si>
  <si>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</si>
  <si>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</si>
  <si>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</si>
  <si>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</si>
  <si>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</si>
  <si>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</si>
  <si>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</si>
  <si>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majątkowe</t>
  </si>
  <si>
    <t>bieżące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</si>
  <si>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</si>
  <si>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</si>
  <si>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</si>
  <si>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</si>
  <si>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</si>
  <si>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</si>
  <si>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</si>
  <si>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</si>
  <si>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</si>
  <si>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</si>
  <si>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</si>
  <si>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</si>
  <si>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</si>
  <si>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</si>
  <si>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</si>
  <si>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</si>
  <si>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</si>
  <si>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 z Rządowego Funduszu Inwestycji Lokalnych)</t>
  </si>
  <si>
    <t>Wpływy z wpłat gmin i powiatów na rzecz związków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</si>
  <si>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</si>
  <si>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</si>
  <si>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</si>
  <si>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</si>
  <si>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</si>
  <si>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</si>
  <si>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</si>
  <si>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</si>
  <si>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</si>
  <si>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</si>
  <si>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</si>
  <si>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</si>
  <si>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</si>
  <si>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</si>
  <si>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</si>
  <si>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</si>
  <si>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</si>
  <si>
    <t>otrzymane z Funduszu Pomocy lub z innych środków (*)</t>
  </si>
  <si>
    <t>(*) na finansowanie lub dofinansowanie realizacji zadań w zakresie pomocy obywatelom Ukrainy</t>
  </si>
  <si>
    <t>tytul</t>
  </si>
  <si>
    <t>FINANSOWANIE DEFICYTU (E1+E2+E3+E4+E5+E6+E7+E8) 
z tego: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</si>
  <si>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</si>
  <si>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</si>
  <si>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</si>
  <si>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</si>
  <si>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</si>
  <si>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dodatni (nadwyżka)</t>
  </si>
  <si>
    <t>ujemny (deficyt)</t>
  </si>
  <si>
    <t>liczba JST</t>
  </si>
  <si>
    <t>kwota</t>
  </si>
  <si>
    <t>Wynik budżetu</t>
  </si>
  <si>
    <t>zrównoważony</t>
  </si>
  <si>
    <t>Planowany</t>
  </si>
  <si>
    <t>Wykonany</t>
  </si>
  <si>
    <t>Wynik operacyjny (Db-Wb)</t>
  </si>
  <si>
    <t>=""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</si>
</sst>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15" fillId="17" borderId="2" applyNumberFormat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0" borderId="0" applyNumberFormat="0" applyBorder="0" applyAlignment="0" applyProtection="0"/>
    <xf numFmtId="0" fontId="36" fillId="0" borderId="0"/>
    <xf numFmtId="0" fontId="36" fillId="0" borderId="0"/>
    <xf numFmtId="0" fontId="1" fillId="4" borderId="8" applyNumberFormat="0" applyFont="0" applyAlignment="0" applyProtection="0"/>
    <xf numFmtId="0" fontId="24" fillId="7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19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19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2"/>
    </xf>
    <xf numFmtId="165" fontId="10" fillId="20" borderId="10" xfId="0" applyNumberFormat="1" applyFont="1" applyFill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/>
    </xf>
    <xf numFmtId="165" fontId="9" fillId="20" borderId="1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19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/>
    </xf>
    <xf numFmtId="165" fontId="9" fillId="20" borderId="10" xfId="28" applyNumberFormat="1" applyFont="1" applyFill="1" applyBorder="1" applyAlignment="1">
      <alignment horizontal="right" vertical="center"/>
    </xf>
    <xf numFmtId="0" fontId="5" fillId="19" borderId="11" xfId="0" applyFont="1" applyFill="1" applyBorder="1" applyAlignment="1">
      <alignment horizontal="center"/>
    </xf>
    <xf numFmtId="4" fontId="9" fillId="2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20" borderId="11" xfId="0" applyNumberFormat="1" applyFont="1" applyFill="1" applyBorder="1" applyAlignment="1">
      <alignment horizontal="right" vertical="center"/>
    </xf>
    <xf numFmtId="4" fontId="5" fillId="21" borderId="11" xfId="0" applyNumberFormat="1" applyFont="1" applyFill="1" applyBorder="1" applyAlignment="1">
      <alignment horizontal="right" vertical="center"/>
    </xf>
    <xf numFmtId="4" fontId="9" fillId="22" borderId="11" xfId="0" applyNumberFormat="1" applyFont="1" applyFill="1" applyBorder="1" applyAlignment="1">
      <alignment horizontal="right" vertical="center"/>
    </xf>
    <xf numFmtId="165" fontId="9" fillId="21" borderId="10" xfId="28" applyNumberFormat="1" applyFont="1" applyFill="1" applyBorder="1" applyAlignment="1">
      <alignment horizontal="right" vertical="center"/>
    </xf>
    <xf numFmtId="165" fontId="9" fillId="21" borderId="10" xfId="0" applyNumberFormat="1" applyFont="1" applyFill="1" applyBorder="1" applyAlignment="1">
      <alignment horizontal="right" vertical="center"/>
    </xf>
    <xf numFmtId="165" fontId="9" fillId="22" borderId="1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19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19" borderId="10" xfId="0" applyFont="1" applyFill="1" applyBorder="1" applyAlignment="1">
      <alignment horizontal="center" vertical="center" wrapText="1"/>
    </xf>
    <xf numFmtId="0" fontId="7" fillId="19" borderId="10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4" fontId="10" fillId="22" borderId="10" xfId="0" applyNumberFormat="1" applyFont="1" applyFill="1" applyBorder="1" applyAlignment="1">
      <alignment horizontal="right" vertical="center"/>
    </xf>
    <xf numFmtId="165" fontId="10" fillId="22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2"/>
    </xf>
    <xf numFmtId="165" fontId="3" fillId="22" borderId="1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165" fontId="9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indent="1"/>
    </xf>
    <xf numFmtId="4" fontId="5" fillId="0" borderId="11" xfId="0" applyNumberFormat="1" applyFont="1" applyFill="1" applyBorder="1" applyAlignment="1">
      <alignment horizontal="right" vertical="center"/>
    </xf>
    <xf numFmtId="165" fontId="9" fillId="0" borderId="10" xfId="28" applyNumberFormat="1" applyFont="1" applyFill="1" applyBorder="1" applyAlignment="1">
      <alignment horizontal="right" vertical="center"/>
    </xf>
    <xf numFmtId="165" fontId="3" fillId="21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4" fontId="9" fillId="22" borderId="10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vertical="center"/>
    </xf>
    <xf numFmtId="4" fontId="10" fillId="22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/>
    </xf>
    <xf numFmtId="4" fontId="5" fillId="21" borderId="10" xfId="0" applyNumberFormat="1" applyFont="1" applyFill="1" applyBorder="1" applyAlignment="1">
      <alignment horizontal="right" vertical="center"/>
    </xf>
    <xf numFmtId="4" fontId="5" fillId="20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3" fillId="2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6" fillId="20" borderId="10" xfId="0" applyFont="1" applyFill="1" applyBorder="1" applyAlignment="1">
      <alignment horizontal="left" vertical="center" wrapText="1" indent="1"/>
    </xf>
    <xf numFmtId="0" fontId="6" fillId="22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3"/>
    </xf>
    <xf numFmtId="0" fontId="6" fillId="22" borderId="10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4"/>
    </xf>
    <xf numFmtId="0" fontId="3" fillId="0" borderId="10" xfId="0" applyFont="1" applyFill="1" applyBorder="1" applyAlignment="1">
      <alignment horizontal="left" vertical="top" wrapText="1" indent="3"/>
    </xf>
    <xf numFmtId="0" fontId="3" fillId="21" borderId="10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3"/>
    </xf>
    <xf numFmtId="4" fontId="9" fillId="2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5" fillId="21" borderId="11" xfId="0" applyNumberFormat="1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vertical="center" wrapText="1"/>
    </xf>
    <xf numFmtId="0" fontId="37" fillId="22" borderId="10" xfId="39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2"/>
    </xf>
    <xf numFmtId="0" fontId="37" fillId="0" borderId="10" xfId="39" applyFont="1" applyBorder="1" applyAlignment="1">
      <alignment horizontal="left" vertical="center" wrapText="1" inden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8" fillId="0" borderId="0" xfId="0" applyFont="1"/>
    <xf numFmtId="49" fontId="2" fillId="0" borderId="0" xfId="0" applyNumberFormat="1" applyFont="1"/>
    <xf numFmtId="0" fontId="9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right" vertical="center" wrapText="1"/>
    </xf>
    <xf numFmtId="3" fontId="35" fillId="0" borderId="10" xfId="0" applyNumberFormat="1" applyFont="1" applyBorder="1" applyAlignment="1">
      <alignment vertical="center" wrapText="1"/>
    </xf>
    <xf numFmtId="167" fontId="35" fillId="0" borderId="10" xfId="0" applyNumberFormat="1" applyFont="1" applyBorder="1" applyAlignment="1">
      <alignment vertical="center" wrapText="1"/>
    </xf>
    <xf numFmtId="0" fontId="29" fillId="19" borderId="10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7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4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0" fontId="7" fillId="19" borderId="13" xfId="0" applyFont="1" applyFill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19" borderId="19" xfId="0" applyFon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rmalny" xfId="0" builtinId="0"/>
    <cellStyle name="Normalny 2" xfId="39" xr:uid="{00000000-0005-0000-0000-000027000000}"/>
    <cellStyle name="Normalny 2 2" xfId="40" xr:uid="{00000000-0005-0000-0000-000028000000}"/>
    <cellStyle name="Note" xfId="41" xr:uid="{00000000-0005-0000-0000-000029000000}"/>
    <cellStyle name="Output" xfId="42" xr:uid="{00000000-0005-0000-0000-00002A000000}"/>
    <cellStyle name="Title" xfId="43" xr:uid="{00000000-0005-0000-0000-00002B000000}"/>
    <cellStyle name="Total" xfId="44" xr:uid="{00000000-0005-0000-0000-00002C000000}"/>
    <cellStyle name="Warning Text" xfId="45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1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3" width="15.7109375" style="1" customWidth="1"/>
    <col min="4" max="4" width="13.7109375" style="1" customWidth="1"/>
    <col min="5" max="5" width="14.140625" style="1" bestFit="1" customWidth="1" outlineLevel="1"/>
    <col min="6" max="8" width="13.7109375" style="1" customWidth="1" outlineLevel="1"/>
    <col min="9" max="9" width="12.85546875" style="1" customWidth="1" outlineLevel="1"/>
    <col min="10" max="11" width="8.42578125" style="1" bestFit="1" customWidth="1"/>
    <col min="12" max="12" width="9.140625" style="1" bestFit="1" customWidth="1"/>
    <col min="13" max="13" width="8.140625" style="1" customWidth="1"/>
    <col min="14" max="16384" width="9.140625" style="1"/>
  </cols>
  <sheetData>
    <row r="1" spans="2:12" ht="18" customHeight="1" x14ac:dyDescent="0.2">
      <c r="B1" s="112" t="str">
        <f>CONCATENATE("Informacja z wykonania budżetów związków jednostek samorządu terytorialnego za ",$D$108," ",$C$109," rok    ",$C$111,"")</f>
        <v>Informacja z wykonania budżetów związków jednostek samorządu terytorialnego za I Kwartał 2025 rok    =""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ht="13.5" customHeight="1" x14ac:dyDescent="0.2"/>
    <row r="3" spans="2:12" ht="66.75" customHeight="1" x14ac:dyDescent="0.2">
      <c r="B3" s="124" t="s">
        <v>0</v>
      </c>
      <c r="C3" s="39" t="s">
        <v>57</v>
      </c>
      <c r="D3" s="39" t="s">
        <v>58</v>
      </c>
      <c r="E3" s="11" t="s">
        <v>80</v>
      </c>
      <c r="F3" s="11" t="s">
        <v>81</v>
      </c>
      <c r="G3" s="11" t="s">
        <v>82</v>
      </c>
      <c r="H3" s="11" t="s">
        <v>83</v>
      </c>
      <c r="I3" s="11" t="s">
        <v>84</v>
      </c>
      <c r="J3" s="41" t="s">
        <v>2</v>
      </c>
      <c r="K3" s="39" t="s">
        <v>18</v>
      </c>
      <c r="L3" s="39" t="s">
        <v>3</v>
      </c>
    </row>
    <row r="4" spans="2:12" x14ac:dyDescent="0.2">
      <c r="B4" s="124"/>
      <c r="C4" s="130" t="s">
        <v>40</v>
      </c>
      <c r="D4" s="132"/>
      <c r="E4" s="133" t="s">
        <v>79</v>
      </c>
      <c r="F4" s="134"/>
      <c r="G4" s="134"/>
      <c r="H4" s="134"/>
      <c r="I4" s="135"/>
      <c r="J4" s="130" t="s">
        <v>4</v>
      </c>
      <c r="K4" s="131"/>
      <c r="L4" s="132"/>
    </row>
    <row r="5" spans="2:12" x14ac:dyDescent="0.2">
      <c r="B5" s="41">
        <v>1</v>
      </c>
      <c r="C5" s="40">
        <v>2</v>
      </c>
      <c r="D5" s="40">
        <v>3</v>
      </c>
      <c r="E5" s="136"/>
      <c r="F5" s="137"/>
      <c r="G5" s="137"/>
      <c r="H5" s="137"/>
      <c r="I5" s="138"/>
      <c r="J5" s="40">
        <v>4</v>
      </c>
      <c r="K5" s="40">
        <v>5</v>
      </c>
      <c r="L5" s="40">
        <v>6</v>
      </c>
    </row>
    <row r="6" spans="2:12" ht="14.1" customHeight="1" x14ac:dyDescent="0.2">
      <c r="B6" s="92" t="s">
        <v>5</v>
      </c>
      <c r="C6" s="51">
        <f>5771505540.18</f>
        <v>5771505540.1800003</v>
      </c>
      <c r="D6" s="51">
        <f>1393941749.89</f>
        <v>1393941749.8900001</v>
      </c>
      <c r="E6" s="86" t="s">
        <v>79</v>
      </c>
      <c r="F6" s="86" t="s">
        <v>79</v>
      </c>
      <c r="G6" s="86" t="s">
        <v>79</v>
      </c>
      <c r="H6" s="86" t="s">
        <v>79</v>
      </c>
      <c r="I6" s="86" t="s">
        <v>79</v>
      </c>
      <c r="J6" s="52">
        <f t="shared" ref="J6:J40" si="0">IF($D$6=0,"",100*$D6/$D$6)</f>
        <v>99.999999999999986</v>
      </c>
      <c r="K6" s="52">
        <f t="shared" ref="K6:K40" si="1">IF(C6=0,"",100*D6/C6)</f>
        <v>24.152133965490851</v>
      </c>
      <c r="L6" s="52"/>
    </row>
    <row r="7" spans="2:12" ht="27" customHeight="1" x14ac:dyDescent="0.2">
      <c r="B7" s="94" t="s">
        <v>27</v>
      </c>
      <c r="C7" s="15">
        <f>C6-C13</f>
        <v>4866119051.6100006</v>
      </c>
      <c r="D7" s="15">
        <f>D6-D13</f>
        <v>1286469283.52</v>
      </c>
      <c r="E7" s="86" t="s">
        <v>79</v>
      </c>
      <c r="F7" s="86" t="s">
        <v>79</v>
      </c>
      <c r="G7" s="86" t="s">
        <v>79</v>
      </c>
      <c r="H7" s="86" t="s">
        <v>79</v>
      </c>
      <c r="I7" s="86" t="s">
        <v>79</v>
      </c>
      <c r="J7" s="19">
        <f t="shared" si="0"/>
        <v>92.290031747848786</v>
      </c>
      <c r="K7" s="19">
        <f t="shared" si="1"/>
        <v>26.437275164781671</v>
      </c>
      <c r="L7" s="19">
        <f t="shared" ref="L7:L12" si="2">IF($D$7=0,"",100*$D7/$D$7)</f>
        <v>100</v>
      </c>
    </row>
    <row r="8" spans="2:12" ht="22.5" outlineLevel="1" x14ac:dyDescent="0.2">
      <c r="B8" s="18" t="s">
        <v>69</v>
      </c>
      <c r="C8" s="53">
        <f>614760813</f>
        <v>614760813</v>
      </c>
      <c r="D8" s="54">
        <f>153690201</f>
        <v>153690201</v>
      </c>
      <c r="E8" s="87" t="s">
        <v>79</v>
      </c>
      <c r="F8" s="87" t="s">
        <v>79</v>
      </c>
      <c r="G8" s="87" t="s">
        <v>79</v>
      </c>
      <c r="H8" s="87" t="s">
        <v>79</v>
      </c>
      <c r="I8" s="87" t="s">
        <v>79</v>
      </c>
      <c r="J8" s="20">
        <f t="shared" si="0"/>
        <v>11.025582741325319</v>
      </c>
      <c r="K8" s="20">
        <f t="shared" si="1"/>
        <v>24.999999634003998</v>
      </c>
      <c r="L8" s="20">
        <f t="shared" si="2"/>
        <v>11.946666972061495</v>
      </c>
    </row>
    <row r="9" spans="2:12" ht="22.5" outlineLevel="1" x14ac:dyDescent="0.2">
      <c r="B9" s="56" t="s">
        <v>68</v>
      </c>
      <c r="C9" s="53">
        <f>1689148214.72</f>
        <v>1689148214.72</v>
      </c>
      <c r="D9" s="54">
        <f>428800547.22</f>
        <v>428800547.22000003</v>
      </c>
      <c r="E9" s="87" t="s">
        <v>79</v>
      </c>
      <c r="F9" s="87" t="s">
        <v>79</v>
      </c>
      <c r="G9" s="87" t="s">
        <v>79</v>
      </c>
      <c r="H9" s="87" t="s">
        <v>79</v>
      </c>
      <c r="I9" s="87" t="s">
        <v>79</v>
      </c>
      <c r="J9" s="20">
        <f t="shared" si="0"/>
        <v>30.761726395944297</v>
      </c>
      <c r="K9" s="20">
        <f t="shared" si="1"/>
        <v>25.385608171221357</v>
      </c>
      <c r="L9" s="20">
        <f t="shared" si="2"/>
        <v>33.33158068467273</v>
      </c>
    </row>
    <row r="10" spans="2:12" ht="33.75" outlineLevel="1" x14ac:dyDescent="0.2">
      <c r="B10" s="56" t="s">
        <v>85</v>
      </c>
      <c r="C10" s="53">
        <f>962566340.85</f>
        <v>962566340.85000002</v>
      </c>
      <c r="D10" s="54">
        <f>249537496.83</f>
        <v>249537496.83000001</v>
      </c>
      <c r="E10" s="87" t="s">
        <v>79</v>
      </c>
      <c r="F10" s="87" t="s">
        <v>79</v>
      </c>
      <c r="G10" s="87" t="s">
        <v>79</v>
      </c>
      <c r="H10" s="87" t="s">
        <v>79</v>
      </c>
      <c r="I10" s="87" t="s">
        <v>79</v>
      </c>
      <c r="J10" s="20">
        <f t="shared" si="0"/>
        <v>17.901572777319547</v>
      </c>
      <c r="K10" s="20">
        <f t="shared" si="1"/>
        <v>25.924186857567076</v>
      </c>
      <c r="L10" s="20">
        <f t="shared" si="2"/>
        <v>19.397081611402545</v>
      </c>
    </row>
    <row r="11" spans="2:12" ht="12.75" customHeight="1" outlineLevel="1" x14ac:dyDescent="0.2">
      <c r="B11" s="56" t="s">
        <v>19</v>
      </c>
      <c r="C11" s="53">
        <f>83049224.32</f>
        <v>83049224.319999993</v>
      </c>
      <c r="D11" s="54">
        <f>19335709.65</f>
        <v>19335709.649999999</v>
      </c>
      <c r="E11" s="87" t="s">
        <v>79</v>
      </c>
      <c r="F11" s="87" t="s">
        <v>79</v>
      </c>
      <c r="G11" s="87" t="s">
        <v>79</v>
      </c>
      <c r="H11" s="87" t="s">
        <v>79</v>
      </c>
      <c r="I11" s="87" t="s">
        <v>79</v>
      </c>
      <c r="J11" s="20">
        <f t="shared" si="0"/>
        <v>1.3871246521976857</v>
      </c>
      <c r="K11" s="20">
        <f t="shared" si="1"/>
        <v>23.282227869458321</v>
      </c>
      <c r="L11" s="20">
        <f t="shared" si="2"/>
        <v>1.5030059324148175</v>
      </c>
    </row>
    <row r="12" spans="2:12" ht="12.75" customHeight="1" outlineLevel="1" x14ac:dyDescent="0.2">
      <c r="B12" s="56" t="s">
        <v>20</v>
      </c>
      <c r="C12" s="53">
        <f>C7-SUM(C8:C11)</f>
        <v>1516594458.7200003</v>
      </c>
      <c r="D12" s="53">
        <f>D7-SUM(D8:D11)</f>
        <v>435105328.81999993</v>
      </c>
      <c r="E12" s="87" t="s">
        <v>79</v>
      </c>
      <c r="F12" s="87" t="s">
        <v>79</v>
      </c>
      <c r="G12" s="87" t="s">
        <v>79</v>
      </c>
      <c r="H12" s="87" t="s">
        <v>79</v>
      </c>
      <c r="I12" s="87" t="s">
        <v>79</v>
      </c>
      <c r="J12" s="20">
        <f t="shared" si="0"/>
        <v>31.214025181061928</v>
      </c>
      <c r="K12" s="20">
        <f t="shared" si="1"/>
        <v>28.689629341467271</v>
      </c>
      <c r="L12" s="20">
        <f t="shared" si="2"/>
        <v>33.821664799448406</v>
      </c>
    </row>
    <row r="13" spans="2:12" ht="27" customHeight="1" x14ac:dyDescent="0.2">
      <c r="B13" s="95" t="s">
        <v>59</v>
      </c>
      <c r="C13" s="51">
        <f>C14+C33+C35</f>
        <v>905386488.56999993</v>
      </c>
      <c r="D13" s="51">
        <f>D14+D33+D35</f>
        <v>107472466.37</v>
      </c>
      <c r="E13" s="86" t="s">
        <v>79</v>
      </c>
      <c r="F13" s="86" t="s">
        <v>79</v>
      </c>
      <c r="G13" s="86" t="s">
        <v>79</v>
      </c>
      <c r="H13" s="86" t="s">
        <v>79</v>
      </c>
      <c r="I13" s="86" t="s">
        <v>79</v>
      </c>
      <c r="J13" s="52">
        <f t="shared" si="0"/>
        <v>7.7099682521512074</v>
      </c>
      <c r="K13" s="52">
        <f t="shared" si="1"/>
        <v>11.870341310233808</v>
      </c>
      <c r="L13" s="55"/>
    </row>
    <row r="14" spans="2:12" ht="27" customHeight="1" outlineLevel="1" x14ac:dyDescent="0.2">
      <c r="B14" s="97" t="s">
        <v>28</v>
      </c>
      <c r="C14" s="51">
        <f>C15+C17+C19+C21+C23+C25+C27+C29+C31</f>
        <v>663799858.92999995</v>
      </c>
      <c r="D14" s="51">
        <f>D15+D17+D19+D21+D23+D25+D27+D29+D31</f>
        <v>96314960.150000006</v>
      </c>
      <c r="E14" s="86" t="s">
        <v>79</v>
      </c>
      <c r="F14" s="86" t="s">
        <v>79</v>
      </c>
      <c r="G14" s="86" t="s">
        <v>79</v>
      </c>
      <c r="H14" s="86" t="s">
        <v>79</v>
      </c>
      <c r="I14" s="86" t="s">
        <v>79</v>
      </c>
      <c r="J14" s="52">
        <f t="shared" si="0"/>
        <v>6.9095398109426371</v>
      </c>
      <c r="K14" s="52">
        <f t="shared" si="1"/>
        <v>14.509638538527733</v>
      </c>
      <c r="L14" s="17"/>
    </row>
    <row r="15" spans="2:12" ht="22.5" outlineLevel="1" x14ac:dyDescent="0.2">
      <c r="B15" s="96" t="s">
        <v>9</v>
      </c>
      <c r="C15" s="53">
        <f>0</f>
        <v>0</v>
      </c>
      <c r="D15" s="53">
        <f>0</f>
        <v>0</v>
      </c>
      <c r="E15" s="87" t="s">
        <v>79</v>
      </c>
      <c r="F15" s="87" t="s">
        <v>79</v>
      </c>
      <c r="G15" s="87" t="s">
        <v>79</v>
      </c>
      <c r="H15" s="87" t="s">
        <v>79</v>
      </c>
      <c r="I15" s="87" t="s">
        <v>79</v>
      </c>
      <c r="J15" s="20">
        <f t="shared" si="0"/>
        <v>0</v>
      </c>
      <c r="K15" s="20" t="str">
        <f t="shared" si="1"/>
        <v/>
      </c>
      <c r="L15" s="17"/>
    </row>
    <row r="16" spans="2:12" ht="12.75" customHeight="1" outlineLevel="1" x14ac:dyDescent="0.2">
      <c r="B16" s="98" t="s">
        <v>6</v>
      </c>
      <c r="C16" s="53">
        <f>0</f>
        <v>0</v>
      </c>
      <c r="D16" s="53">
        <f>0</f>
        <v>0</v>
      </c>
      <c r="E16" s="87" t="s">
        <v>79</v>
      </c>
      <c r="F16" s="87" t="s">
        <v>79</v>
      </c>
      <c r="G16" s="87" t="s">
        <v>79</v>
      </c>
      <c r="H16" s="87" t="s">
        <v>79</v>
      </c>
      <c r="I16" s="87" t="s">
        <v>79</v>
      </c>
      <c r="J16" s="20">
        <f t="shared" si="0"/>
        <v>0</v>
      </c>
      <c r="K16" s="20" t="str">
        <f t="shared" si="1"/>
        <v/>
      </c>
      <c r="L16" s="17"/>
    </row>
    <row r="17" spans="2:12" ht="12.75" customHeight="1" outlineLevel="1" x14ac:dyDescent="0.2">
      <c r="B17" s="96" t="s">
        <v>7</v>
      </c>
      <c r="C17" s="53">
        <f>0</f>
        <v>0</v>
      </c>
      <c r="D17" s="53">
        <f>0</f>
        <v>0</v>
      </c>
      <c r="E17" s="87" t="s">
        <v>79</v>
      </c>
      <c r="F17" s="87" t="s">
        <v>79</v>
      </c>
      <c r="G17" s="87" t="s">
        <v>79</v>
      </c>
      <c r="H17" s="87" t="s">
        <v>79</v>
      </c>
      <c r="I17" s="87" t="s">
        <v>79</v>
      </c>
      <c r="J17" s="20">
        <f t="shared" si="0"/>
        <v>0</v>
      </c>
      <c r="K17" s="20" t="str">
        <f t="shared" si="1"/>
        <v/>
      </c>
      <c r="L17" s="17"/>
    </row>
    <row r="18" spans="2:12" ht="12.75" customHeight="1" outlineLevel="1" x14ac:dyDescent="0.2">
      <c r="B18" s="98" t="s">
        <v>6</v>
      </c>
      <c r="C18" s="53">
        <f>0</f>
        <v>0</v>
      </c>
      <c r="D18" s="53">
        <f>0</f>
        <v>0</v>
      </c>
      <c r="E18" s="87" t="s">
        <v>79</v>
      </c>
      <c r="F18" s="87" t="s">
        <v>79</v>
      </c>
      <c r="G18" s="87" t="s">
        <v>79</v>
      </c>
      <c r="H18" s="87" t="s">
        <v>79</v>
      </c>
      <c r="I18" s="87" t="s">
        <v>79</v>
      </c>
      <c r="J18" s="20">
        <f t="shared" si="0"/>
        <v>0</v>
      </c>
      <c r="K18" s="20" t="str">
        <f t="shared" si="1"/>
        <v/>
      </c>
      <c r="L18" s="17"/>
    </row>
    <row r="19" spans="2:12" ht="33.75" outlineLevel="1" x14ac:dyDescent="0.2">
      <c r="B19" s="96" t="s">
        <v>10</v>
      </c>
      <c r="C19" s="53">
        <f>0</f>
        <v>0</v>
      </c>
      <c r="D19" s="53">
        <f>0</f>
        <v>0</v>
      </c>
      <c r="E19" s="87" t="s">
        <v>79</v>
      </c>
      <c r="F19" s="87" t="s">
        <v>79</v>
      </c>
      <c r="G19" s="87" t="s">
        <v>79</v>
      </c>
      <c r="H19" s="87" t="s">
        <v>79</v>
      </c>
      <c r="I19" s="87" t="s">
        <v>79</v>
      </c>
      <c r="J19" s="20">
        <f t="shared" si="0"/>
        <v>0</v>
      </c>
      <c r="K19" s="20" t="str">
        <f t="shared" si="1"/>
        <v/>
      </c>
      <c r="L19" s="17"/>
    </row>
    <row r="20" spans="2:12" ht="12.75" customHeight="1" outlineLevel="1" x14ac:dyDescent="0.2">
      <c r="B20" s="98" t="s">
        <v>6</v>
      </c>
      <c r="C20" s="53">
        <f>0</f>
        <v>0</v>
      </c>
      <c r="D20" s="53">
        <f>0</f>
        <v>0</v>
      </c>
      <c r="E20" s="87" t="s">
        <v>79</v>
      </c>
      <c r="F20" s="87" t="s">
        <v>79</v>
      </c>
      <c r="G20" s="87" t="s">
        <v>79</v>
      </c>
      <c r="H20" s="87" t="s">
        <v>79</v>
      </c>
      <c r="I20" s="87" t="s">
        <v>79</v>
      </c>
      <c r="J20" s="20">
        <f t="shared" si="0"/>
        <v>0</v>
      </c>
      <c r="K20" s="20" t="str">
        <f t="shared" si="1"/>
        <v/>
      </c>
      <c r="L20" s="17"/>
    </row>
    <row r="21" spans="2:12" ht="22.5" outlineLevel="1" x14ac:dyDescent="0.2">
      <c r="B21" s="99" t="s">
        <v>11</v>
      </c>
      <c r="C21" s="53">
        <f>41453214.44</f>
        <v>41453214.439999998</v>
      </c>
      <c r="D21" s="53">
        <f>10560601.95</f>
        <v>10560601.949999999</v>
      </c>
      <c r="E21" s="87" t="s">
        <v>79</v>
      </c>
      <c r="F21" s="87" t="s">
        <v>79</v>
      </c>
      <c r="G21" s="87" t="s">
        <v>79</v>
      </c>
      <c r="H21" s="87" t="s">
        <v>79</v>
      </c>
      <c r="I21" s="87" t="s">
        <v>79</v>
      </c>
      <c r="J21" s="20">
        <f t="shared" si="0"/>
        <v>0.75760712029992405</v>
      </c>
      <c r="K21" s="20">
        <f t="shared" si="1"/>
        <v>25.4759542599177</v>
      </c>
      <c r="L21" s="17"/>
    </row>
    <row r="22" spans="2:12" ht="12.75" customHeight="1" outlineLevel="1" x14ac:dyDescent="0.2">
      <c r="B22" s="98" t="s">
        <v>6</v>
      </c>
      <c r="C22" s="53">
        <f>2465416</f>
        <v>2465416</v>
      </c>
      <c r="D22" s="53">
        <f>34149</f>
        <v>34149</v>
      </c>
      <c r="E22" s="87" t="s">
        <v>79</v>
      </c>
      <c r="F22" s="87" t="s">
        <v>79</v>
      </c>
      <c r="G22" s="87" t="s">
        <v>79</v>
      </c>
      <c r="H22" s="87" t="s">
        <v>79</v>
      </c>
      <c r="I22" s="87" t="s">
        <v>79</v>
      </c>
      <c r="J22" s="20">
        <f t="shared" si="0"/>
        <v>2.4498154246900771E-3</v>
      </c>
      <c r="K22" s="20">
        <f t="shared" si="1"/>
        <v>1.3851212128095218</v>
      </c>
      <c r="L22" s="17"/>
    </row>
    <row r="23" spans="2:12" ht="34.5" customHeight="1" outlineLevel="1" x14ac:dyDescent="0.2">
      <c r="B23" s="99" t="s">
        <v>41</v>
      </c>
      <c r="C23" s="53">
        <f>13144708.32</f>
        <v>13144708.32</v>
      </c>
      <c r="D23" s="53">
        <f>4913253.73</f>
        <v>4913253.7300000004</v>
      </c>
      <c r="E23" s="87" t="s">
        <v>79</v>
      </c>
      <c r="F23" s="87" t="s">
        <v>79</v>
      </c>
      <c r="G23" s="87" t="s">
        <v>79</v>
      </c>
      <c r="H23" s="87" t="s">
        <v>79</v>
      </c>
      <c r="I23" s="87" t="s">
        <v>79</v>
      </c>
      <c r="J23" s="20">
        <f t="shared" si="0"/>
        <v>0.35247195446923946</v>
      </c>
      <c r="K23" s="20">
        <f t="shared" si="1"/>
        <v>37.378187559509122</v>
      </c>
      <c r="L23" s="17"/>
    </row>
    <row r="24" spans="2:12" ht="12.75" customHeight="1" outlineLevel="1" x14ac:dyDescent="0.2">
      <c r="B24" s="98" t="s">
        <v>6</v>
      </c>
      <c r="C24" s="53">
        <f>10322663.47</f>
        <v>10322663.470000001</v>
      </c>
      <c r="D24" s="53">
        <f>4435189.91</f>
        <v>4435189.91</v>
      </c>
      <c r="E24" s="87" t="s">
        <v>79</v>
      </c>
      <c r="F24" s="87" t="s">
        <v>79</v>
      </c>
      <c r="G24" s="87" t="s">
        <v>79</v>
      </c>
      <c r="H24" s="87" t="s">
        <v>79</v>
      </c>
      <c r="I24" s="87" t="s">
        <v>79</v>
      </c>
      <c r="J24" s="20">
        <f t="shared" si="0"/>
        <v>0.31817612969480208</v>
      </c>
      <c r="K24" s="20">
        <f t="shared" si="1"/>
        <v>42.965557512260929</v>
      </c>
      <c r="L24" s="17"/>
    </row>
    <row r="25" spans="2:12" ht="12.75" customHeight="1" outlineLevel="1" x14ac:dyDescent="0.2">
      <c r="B25" s="96" t="s">
        <v>8</v>
      </c>
      <c r="C25" s="53">
        <f>11941451</f>
        <v>11941451</v>
      </c>
      <c r="D25" s="53">
        <f>0</f>
        <v>0</v>
      </c>
      <c r="E25" s="87" t="s">
        <v>79</v>
      </c>
      <c r="F25" s="87" t="s">
        <v>79</v>
      </c>
      <c r="G25" s="87" t="s">
        <v>79</v>
      </c>
      <c r="H25" s="87" t="s">
        <v>79</v>
      </c>
      <c r="I25" s="87" t="s">
        <v>79</v>
      </c>
      <c r="J25" s="20">
        <f t="shared" si="0"/>
        <v>0</v>
      </c>
      <c r="K25" s="20">
        <f t="shared" si="1"/>
        <v>0</v>
      </c>
      <c r="L25" s="17"/>
    </row>
    <row r="26" spans="2:12" ht="12.75" customHeight="1" outlineLevel="1" x14ac:dyDescent="0.2">
      <c r="B26" s="98" t="s">
        <v>6</v>
      </c>
      <c r="C26" s="53">
        <f>11941451</f>
        <v>11941451</v>
      </c>
      <c r="D26" s="53">
        <f>0</f>
        <v>0</v>
      </c>
      <c r="E26" s="87" t="s">
        <v>79</v>
      </c>
      <c r="F26" s="87" t="s">
        <v>79</v>
      </c>
      <c r="G26" s="87" t="s">
        <v>79</v>
      </c>
      <c r="H26" s="87" t="s">
        <v>79</v>
      </c>
      <c r="I26" s="87" t="s">
        <v>79</v>
      </c>
      <c r="J26" s="20">
        <f t="shared" si="0"/>
        <v>0</v>
      </c>
      <c r="K26" s="20">
        <f t="shared" si="1"/>
        <v>0</v>
      </c>
      <c r="L26" s="17"/>
    </row>
    <row r="27" spans="2:12" ht="67.5" outlineLevel="1" x14ac:dyDescent="0.2">
      <c r="B27" s="100" t="s">
        <v>70</v>
      </c>
      <c r="C27" s="53">
        <f>0</f>
        <v>0</v>
      </c>
      <c r="D27" s="53">
        <f>0</f>
        <v>0</v>
      </c>
      <c r="E27" s="87" t="s">
        <v>79</v>
      </c>
      <c r="F27" s="87" t="s">
        <v>79</v>
      </c>
      <c r="G27" s="87" t="s">
        <v>79</v>
      </c>
      <c r="H27" s="87" t="s">
        <v>79</v>
      </c>
      <c r="I27" s="87" t="s">
        <v>79</v>
      </c>
      <c r="J27" s="20">
        <f t="shared" si="0"/>
        <v>0</v>
      </c>
      <c r="K27" s="20" t="str">
        <f t="shared" si="1"/>
        <v/>
      </c>
      <c r="L27" s="17"/>
    </row>
    <row r="28" spans="2:12" ht="12.75" customHeight="1" outlineLevel="1" x14ac:dyDescent="0.2">
      <c r="B28" s="98" t="s">
        <v>71</v>
      </c>
      <c r="C28" s="53">
        <f>0</f>
        <v>0</v>
      </c>
      <c r="D28" s="53">
        <f>0</f>
        <v>0</v>
      </c>
      <c r="E28" s="87" t="s">
        <v>79</v>
      </c>
      <c r="F28" s="87" t="s">
        <v>79</v>
      </c>
      <c r="G28" s="87" t="s">
        <v>79</v>
      </c>
      <c r="H28" s="87" t="s">
        <v>79</v>
      </c>
      <c r="I28" s="87" t="s">
        <v>79</v>
      </c>
      <c r="J28" s="20">
        <f t="shared" si="0"/>
        <v>0</v>
      </c>
      <c r="K28" s="20" t="str">
        <f t="shared" si="1"/>
        <v/>
      </c>
      <c r="L28" s="17"/>
    </row>
    <row r="29" spans="2:12" ht="45" outlineLevel="1" x14ac:dyDescent="0.2">
      <c r="B29" s="100" t="s">
        <v>67</v>
      </c>
      <c r="C29" s="53">
        <f>597260485.17</f>
        <v>597260485.16999996</v>
      </c>
      <c r="D29" s="53">
        <f>80841104.47</f>
        <v>80841104.469999999</v>
      </c>
      <c r="E29" s="87" t="s">
        <v>79</v>
      </c>
      <c r="F29" s="87" t="s">
        <v>79</v>
      </c>
      <c r="G29" s="87" t="s">
        <v>79</v>
      </c>
      <c r="H29" s="87" t="s">
        <v>79</v>
      </c>
      <c r="I29" s="87" t="s">
        <v>79</v>
      </c>
      <c r="J29" s="66">
        <f t="shared" si="0"/>
        <v>5.799460736173474</v>
      </c>
      <c r="K29" s="66">
        <f t="shared" si="1"/>
        <v>13.535317751180202</v>
      </c>
      <c r="L29" s="17"/>
    </row>
    <row r="30" spans="2:12" ht="12.75" customHeight="1" outlineLevel="1" x14ac:dyDescent="0.2">
      <c r="B30" s="98" t="s">
        <v>6</v>
      </c>
      <c r="C30" s="53">
        <f>597260485.17</f>
        <v>597260485.16999996</v>
      </c>
      <c r="D30" s="53">
        <f>80841104.47</f>
        <v>80841104.469999999</v>
      </c>
      <c r="E30" s="87" t="s">
        <v>79</v>
      </c>
      <c r="F30" s="87" t="s">
        <v>79</v>
      </c>
      <c r="G30" s="87" t="s">
        <v>79</v>
      </c>
      <c r="H30" s="87" t="s">
        <v>79</v>
      </c>
      <c r="I30" s="87" t="s">
        <v>79</v>
      </c>
      <c r="J30" s="20">
        <f t="shared" si="0"/>
        <v>5.799460736173474</v>
      </c>
      <c r="K30" s="20">
        <f t="shared" si="1"/>
        <v>13.535317751180202</v>
      </c>
      <c r="L30" s="17"/>
    </row>
    <row r="31" spans="2:12" ht="22.5" outlineLevel="1" x14ac:dyDescent="0.2">
      <c r="B31" s="100" t="s">
        <v>86</v>
      </c>
      <c r="C31" s="53">
        <f>0</f>
        <v>0</v>
      </c>
      <c r="D31" s="53">
        <f>0</f>
        <v>0</v>
      </c>
      <c r="E31" s="87" t="s">
        <v>79</v>
      </c>
      <c r="F31" s="87" t="s">
        <v>79</v>
      </c>
      <c r="G31" s="87" t="s">
        <v>79</v>
      </c>
      <c r="H31" s="87" t="s">
        <v>79</v>
      </c>
      <c r="I31" s="87" t="s">
        <v>79</v>
      </c>
      <c r="J31" s="20">
        <f t="shared" si="0"/>
        <v>0</v>
      </c>
      <c r="K31" s="20" t="str">
        <f t="shared" si="1"/>
        <v/>
      </c>
      <c r="L31" s="17"/>
    </row>
    <row r="32" spans="2:12" ht="12.75" customHeight="1" outlineLevel="1" x14ac:dyDescent="0.2">
      <c r="B32" s="98" t="s">
        <v>6</v>
      </c>
      <c r="C32" s="53">
        <f>0</f>
        <v>0</v>
      </c>
      <c r="D32" s="53">
        <f>0</f>
        <v>0</v>
      </c>
      <c r="E32" s="87" t="s">
        <v>79</v>
      </c>
      <c r="F32" s="87" t="s">
        <v>79</v>
      </c>
      <c r="G32" s="87" t="s">
        <v>79</v>
      </c>
      <c r="H32" s="87" t="s">
        <v>79</v>
      </c>
      <c r="I32" s="87" t="s">
        <v>79</v>
      </c>
      <c r="J32" s="20">
        <f t="shared" si="0"/>
        <v>0</v>
      </c>
      <c r="K32" s="20" t="str">
        <f t="shared" si="1"/>
        <v/>
      </c>
      <c r="L32" s="17"/>
    </row>
    <row r="33" spans="1:26" s="5" customFormat="1" ht="13.5" customHeight="1" outlineLevel="1" x14ac:dyDescent="0.2">
      <c r="A33" s="2"/>
      <c r="B33" s="97" t="s">
        <v>39</v>
      </c>
      <c r="C33" s="53">
        <f>22117000</f>
        <v>22117000</v>
      </c>
      <c r="D33" s="53">
        <f>5450200</f>
        <v>5450200</v>
      </c>
      <c r="E33" s="86" t="s">
        <v>79</v>
      </c>
      <c r="F33" s="86" t="s">
        <v>79</v>
      </c>
      <c r="G33" s="86" t="s">
        <v>79</v>
      </c>
      <c r="H33" s="86" t="s">
        <v>79</v>
      </c>
      <c r="I33" s="86" t="s">
        <v>79</v>
      </c>
      <c r="J33" s="19">
        <f t="shared" si="0"/>
        <v>0.39099194786511637</v>
      </c>
      <c r="K33" s="19">
        <f t="shared" si="1"/>
        <v>24.642582628747117</v>
      </c>
      <c r="L33" s="42"/>
      <c r="M33" s="12"/>
      <c r="N33" s="12"/>
      <c r="O33" s="9"/>
      <c r="P33" s="9"/>
      <c r="Q33" s="3"/>
    </row>
    <row r="34" spans="1:26" s="5" customFormat="1" ht="12.75" customHeight="1" outlineLevel="1" x14ac:dyDescent="0.2">
      <c r="A34" s="2"/>
      <c r="B34" s="101" t="s">
        <v>38</v>
      </c>
      <c r="C34" s="53">
        <f>22117000</f>
        <v>22117000</v>
      </c>
      <c r="D34" s="53">
        <f>5450200</f>
        <v>5450200</v>
      </c>
      <c r="E34" s="87" t="s">
        <v>79</v>
      </c>
      <c r="F34" s="87" t="s">
        <v>79</v>
      </c>
      <c r="G34" s="87" t="s">
        <v>79</v>
      </c>
      <c r="H34" s="87" t="s">
        <v>79</v>
      </c>
      <c r="I34" s="87" t="s">
        <v>79</v>
      </c>
      <c r="J34" s="20">
        <f t="shared" si="0"/>
        <v>0.39099194786511637</v>
      </c>
      <c r="K34" s="20">
        <f t="shared" si="1"/>
        <v>24.642582628747117</v>
      </c>
      <c r="L34" s="42"/>
      <c r="M34" s="12"/>
      <c r="N34" s="12"/>
      <c r="O34" s="9"/>
      <c r="P34" s="9"/>
      <c r="Q34" s="3"/>
    </row>
    <row r="35" spans="1:26" s="5" customFormat="1" ht="13.5" customHeight="1" outlineLevel="1" x14ac:dyDescent="0.2">
      <c r="A35" s="2"/>
      <c r="B35" s="97" t="s">
        <v>46</v>
      </c>
      <c r="C35" s="53">
        <f>219469629.64</f>
        <v>219469629.63999999</v>
      </c>
      <c r="D35" s="53">
        <f>5707306.22</f>
        <v>5707306.2199999997</v>
      </c>
      <c r="E35" s="86" t="s">
        <v>79</v>
      </c>
      <c r="F35" s="86" t="s">
        <v>79</v>
      </c>
      <c r="G35" s="86" t="s">
        <v>79</v>
      </c>
      <c r="H35" s="86" t="s">
        <v>79</v>
      </c>
      <c r="I35" s="86" t="s">
        <v>79</v>
      </c>
      <c r="J35" s="57">
        <f t="shared" si="0"/>
        <v>0.40943649334345428</v>
      </c>
      <c r="K35" s="57">
        <f t="shared" si="1"/>
        <v>2.6004993170862858</v>
      </c>
      <c r="L35" s="42"/>
      <c r="M35" s="12"/>
      <c r="N35" s="12"/>
      <c r="O35" s="9"/>
      <c r="P35" s="9"/>
      <c r="Q35" s="3"/>
    </row>
    <row r="36" spans="1:26" s="5" customFormat="1" ht="12.75" customHeight="1" outlineLevel="1" x14ac:dyDescent="0.2">
      <c r="A36" s="2"/>
      <c r="B36" s="101" t="s">
        <v>47</v>
      </c>
      <c r="C36" s="53">
        <f>193716411.08</f>
        <v>193716411.08000001</v>
      </c>
      <c r="D36" s="53">
        <f>4831247.2</f>
        <v>4831247.2</v>
      </c>
      <c r="E36" s="87" t="s">
        <v>79</v>
      </c>
      <c r="F36" s="87" t="s">
        <v>79</v>
      </c>
      <c r="G36" s="87" t="s">
        <v>79</v>
      </c>
      <c r="H36" s="87" t="s">
        <v>79</v>
      </c>
      <c r="I36" s="87" t="s">
        <v>79</v>
      </c>
      <c r="J36" s="20">
        <f t="shared" si="0"/>
        <v>0.34658888726026371</v>
      </c>
      <c r="K36" s="20">
        <f t="shared" si="1"/>
        <v>2.4939793035938584</v>
      </c>
      <c r="L36" s="42"/>
      <c r="M36" s="12"/>
      <c r="N36" s="12"/>
      <c r="O36" s="9"/>
      <c r="P36" s="9"/>
      <c r="Q36" s="3"/>
    </row>
    <row r="37" spans="1:26" s="5" customFormat="1" ht="8.25" customHeight="1" x14ac:dyDescent="0.2">
      <c r="A37" s="2"/>
      <c r="B37" s="90"/>
      <c r="C37" s="35"/>
      <c r="D37" s="35"/>
      <c r="E37" s="35"/>
      <c r="F37" s="35"/>
      <c r="G37" s="35"/>
      <c r="H37" s="35"/>
      <c r="I37" s="35"/>
      <c r="J37" s="35"/>
      <c r="K37" s="35"/>
      <c r="L37" s="42"/>
      <c r="M37" s="12"/>
      <c r="N37" s="12"/>
      <c r="O37" s="9"/>
      <c r="P37" s="9"/>
      <c r="Q37" s="3"/>
    </row>
    <row r="38" spans="1:26" s="5" customFormat="1" ht="13.5" customHeight="1" x14ac:dyDescent="0.2">
      <c r="A38" s="2"/>
      <c r="B38" s="92" t="s">
        <v>5</v>
      </c>
      <c r="C38" s="51">
        <f>+C6</f>
        <v>5771505540.1800003</v>
      </c>
      <c r="D38" s="51">
        <f>+D6</f>
        <v>1393941749.8900001</v>
      </c>
      <c r="E38" s="88" t="s">
        <v>79</v>
      </c>
      <c r="F38" s="88" t="s">
        <v>79</v>
      </c>
      <c r="G38" s="88" t="s">
        <v>79</v>
      </c>
      <c r="H38" s="88" t="s">
        <v>79</v>
      </c>
      <c r="I38" s="88" t="s">
        <v>79</v>
      </c>
      <c r="J38" s="57">
        <f t="shared" si="0"/>
        <v>99.999999999999986</v>
      </c>
      <c r="K38" s="57">
        <f t="shared" si="1"/>
        <v>24.152133965490851</v>
      </c>
      <c r="L38" s="42"/>
      <c r="M38" s="12"/>
      <c r="N38" s="12"/>
      <c r="O38" s="9"/>
      <c r="P38" s="9"/>
      <c r="Q38" s="3"/>
    </row>
    <row r="39" spans="1:26" s="5" customFormat="1" ht="13.5" customHeight="1" x14ac:dyDescent="0.2">
      <c r="A39" s="2"/>
      <c r="B39" s="91" t="s">
        <v>48</v>
      </c>
      <c r="C39" s="14">
        <f>981516079.31</f>
        <v>981516079.30999994</v>
      </c>
      <c r="D39" s="14">
        <f>115282211.09</f>
        <v>115282211.09</v>
      </c>
      <c r="E39" s="89" t="s">
        <v>79</v>
      </c>
      <c r="F39" s="89" t="s">
        <v>79</v>
      </c>
      <c r="G39" s="89" t="s">
        <v>79</v>
      </c>
      <c r="H39" s="89" t="s">
        <v>79</v>
      </c>
      <c r="I39" s="89" t="s">
        <v>79</v>
      </c>
      <c r="J39" s="20">
        <f t="shared" si="0"/>
        <v>8.2702316003589988</v>
      </c>
      <c r="K39" s="20">
        <f t="shared" si="1"/>
        <v>11.745320685020538</v>
      </c>
      <c r="L39" s="42"/>
      <c r="M39" s="12"/>
      <c r="N39" s="12"/>
      <c r="O39" s="9"/>
      <c r="P39" s="9"/>
      <c r="Q39" s="3"/>
    </row>
    <row r="40" spans="1:26" s="5" customFormat="1" ht="13.5" customHeight="1" x14ac:dyDescent="0.2">
      <c r="A40" s="2"/>
      <c r="B40" s="91" t="s">
        <v>49</v>
      </c>
      <c r="C40" s="14">
        <f>C38-C39</f>
        <v>4789989460.8700008</v>
      </c>
      <c r="D40" s="14">
        <f>D38-D39</f>
        <v>1278659538.8000002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20">
        <f t="shared" si="0"/>
        <v>91.729768399641003</v>
      </c>
      <c r="K40" s="20">
        <f t="shared" si="1"/>
        <v>26.694412362397109</v>
      </c>
      <c r="L40" s="42"/>
      <c r="M40" s="12"/>
      <c r="N40" s="12"/>
      <c r="O40" s="9"/>
      <c r="P40" s="9"/>
      <c r="Q40" s="3"/>
    </row>
    <row r="41" spans="1:26" s="5" customFormat="1" x14ac:dyDescent="0.2">
      <c r="A41" s="2"/>
      <c r="B41" s="117" t="s">
        <v>87</v>
      </c>
      <c r="C41" s="7"/>
      <c r="D41" s="8"/>
      <c r="E41" s="8"/>
      <c r="F41" s="12"/>
      <c r="G41" s="12"/>
      <c r="H41" s="12"/>
      <c r="I41" s="12"/>
      <c r="J41" s="12"/>
      <c r="K41" s="9"/>
      <c r="L41" s="9"/>
      <c r="M41" s="3"/>
    </row>
    <row r="42" spans="1:26" ht="18" customHeight="1" x14ac:dyDescent="0.2">
      <c r="B42" s="112" t="str">
        <f>CONCATENATE("Informacja z wykonania budżetów związków jednostek samorządu terytorialnego za ",$D$108," ",$C$109," rok        ",$C$111,"")</f>
        <v>Informacja z wykonania budżetów związków jednostek samorządu terytorialnego za I Kwartał 2025 rok        =""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50"/>
    </row>
    <row r="43" spans="1:26" s="5" customFormat="1" ht="6" hidden="1" customHeight="1" x14ac:dyDescent="0.2">
      <c r="B43" s="6"/>
      <c r="C43" s="7"/>
      <c r="D43" s="8"/>
      <c r="E43" s="8"/>
      <c r="F43" s="4"/>
      <c r="G43" s="4"/>
      <c r="H43" s="4"/>
      <c r="I43" s="4"/>
      <c r="J43" s="4"/>
      <c r="K43" s="9"/>
      <c r="L43" s="9"/>
      <c r="M43" s="3"/>
    </row>
    <row r="44" spans="1:26" ht="29.25" customHeight="1" x14ac:dyDescent="0.2">
      <c r="B44" s="124" t="s">
        <v>0</v>
      </c>
      <c r="C44" s="142" t="s">
        <v>50</v>
      </c>
      <c r="D44" s="142" t="s">
        <v>52</v>
      </c>
      <c r="E44" s="142" t="s">
        <v>51</v>
      </c>
      <c r="F44" s="142" t="s">
        <v>12</v>
      </c>
      <c r="G44" s="142"/>
      <c r="H44" s="142"/>
      <c r="I44" s="157" t="s">
        <v>53</v>
      </c>
      <c r="J44" s="142" t="s">
        <v>2</v>
      </c>
      <c r="K44" s="156" t="s">
        <v>18</v>
      </c>
      <c r="L44" s="37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" customHeight="1" x14ac:dyDescent="0.2">
      <c r="B45" s="124"/>
      <c r="C45" s="142"/>
      <c r="D45" s="142"/>
      <c r="E45" s="126"/>
      <c r="F45" s="125" t="s">
        <v>54</v>
      </c>
      <c r="G45" s="144" t="s">
        <v>23</v>
      </c>
      <c r="H45" s="126"/>
      <c r="I45" s="158"/>
      <c r="J45" s="142"/>
      <c r="K45" s="156"/>
      <c r="L45" s="45"/>
      <c r="M45" s="1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64.5" customHeight="1" x14ac:dyDescent="0.2">
      <c r="B46" s="124"/>
      <c r="C46" s="142"/>
      <c r="D46" s="142"/>
      <c r="E46" s="126"/>
      <c r="F46" s="126"/>
      <c r="G46" s="38" t="s">
        <v>55</v>
      </c>
      <c r="H46" s="38" t="s">
        <v>56</v>
      </c>
      <c r="I46" s="159"/>
      <c r="J46" s="142"/>
      <c r="K46" s="156"/>
      <c r="L46" s="45"/>
      <c r="M46" s="12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 x14ac:dyDescent="0.2">
      <c r="B47" s="124"/>
      <c r="C47" s="130" t="s">
        <v>40</v>
      </c>
      <c r="D47" s="131"/>
      <c r="E47" s="131"/>
      <c r="F47" s="131"/>
      <c r="G47" s="131"/>
      <c r="H47" s="131"/>
      <c r="I47" s="132"/>
      <c r="J47" s="141" t="s">
        <v>4</v>
      </c>
      <c r="K47" s="141"/>
      <c r="L47" s="3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customHeight="1" x14ac:dyDescent="0.2">
      <c r="B48" s="41">
        <v>1</v>
      </c>
      <c r="C48" s="40">
        <v>2</v>
      </c>
      <c r="D48" s="40">
        <v>3</v>
      </c>
      <c r="E48" s="40">
        <v>4</v>
      </c>
      <c r="F48" s="41">
        <v>5</v>
      </c>
      <c r="G48" s="41">
        <v>6</v>
      </c>
      <c r="H48" s="40">
        <v>7</v>
      </c>
      <c r="I48" s="83">
        <v>8</v>
      </c>
      <c r="J48" s="41">
        <v>9</v>
      </c>
      <c r="K48" s="40">
        <v>10</v>
      </c>
      <c r="L48" s="37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13" ht="27" customHeight="1" x14ac:dyDescent="0.2">
      <c r="B49" s="93" t="s">
        <v>29</v>
      </c>
      <c r="C49" s="58">
        <f>6078441714.81</f>
        <v>6078441714.8100004</v>
      </c>
      <c r="D49" s="68">
        <f>1082460642.49</f>
        <v>1082460642.49</v>
      </c>
      <c r="E49" s="68">
        <f>2421372036.47</f>
        <v>2421372036.4699998</v>
      </c>
      <c r="F49" s="58">
        <f>192401507.33</f>
        <v>192401507.33000001</v>
      </c>
      <c r="G49" s="58">
        <f>0</f>
        <v>0</v>
      </c>
      <c r="H49" s="58">
        <f>19583620.14</f>
        <v>19583620.140000001</v>
      </c>
      <c r="I49" s="77">
        <f>0</f>
        <v>0</v>
      </c>
      <c r="J49" s="34">
        <f>IF($D$49=0,"",100*$D49/$D$49)</f>
        <v>100</v>
      </c>
      <c r="K49" s="34">
        <f>IF(C49=0,"",100*D49/C49)</f>
        <v>17.808193173138545</v>
      </c>
      <c r="L49" s="22"/>
      <c r="M49" s="74"/>
    </row>
    <row r="50" spans="2:13" x14ac:dyDescent="0.2">
      <c r="B50" s="94" t="s">
        <v>14</v>
      </c>
      <c r="C50" s="16">
        <f>1539825894.03</f>
        <v>1539825894.03</v>
      </c>
      <c r="D50" s="16">
        <f>173913383.32</f>
        <v>173913383.31999999</v>
      </c>
      <c r="E50" s="16">
        <f>591558594.23</f>
        <v>591558594.23000002</v>
      </c>
      <c r="F50" s="16">
        <f>13406152.45</f>
        <v>13406152.449999999</v>
      </c>
      <c r="G50" s="16">
        <f>0</f>
        <v>0</v>
      </c>
      <c r="H50" s="16">
        <f>0</f>
        <v>0</v>
      </c>
      <c r="I50" s="78">
        <f>0</f>
        <v>0</v>
      </c>
      <c r="J50" s="34">
        <f t="shared" ref="J50:J58" si="3">IF($D$49=0,"",100*$D50/$D$49)</f>
        <v>16.066485606344497</v>
      </c>
      <c r="K50" s="34">
        <f t="shared" ref="K50:K58" si="4">IF(C50=0,"",100*D50/C50)</f>
        <v>11.294353731436322</v>
      </c>
      <c r="L50" s="22"/>
      <c r="M50" s="76"/>
    </row>
    <row r="51" spans="2:13" ht="12.75" customHeight="1" outlineLevel="1" x14ac:dyDescent="0.2">
      <c r="B51" s="56" t="s">
        <v>13</v>
      </c>
      <c r="C51" s="53">
        <f>1538226328.33</f>
        <v>1538226328.3299999</v>
      </c>
      <c r="D51" s="53">
        <f>173513383.32</f>
        <v>173513383.31999999</v>
      </c>
      <c r="E51" s="53">
        <f>591023594.23</f>
        <v>591023594.23000002</v>
      </c>
      <c r="F51" s="53">
        <f>13406152.45</f>
        <v>13406152.449999999</v>
      </c>
      <c r="G51" s="53">
        <f>0</f>
        <v>0</v>
      </c>
      <c r="H51" s="53">
        <f>0</f>
        <v>0</v>
      </c>
      <c r="I51" s="79">
        <f>0</f>
        <v>0</v>
      </c>
      <c r="J51" s="34">
        <f t="shared" si="3"/>
        <v>16.029532761659087</v>
      </c>
      <c r="K51" s="34">
        <f t="shared" si="4"/>
        <v>11.280094490930836</v>
      </c>
      <c r="L51" s="22"/>
      <c r="M51" s="75"/>
    </row>
    <row r="52" spans="2:13" ht="27" customHeight="1" x14ac:dyDescent="0.2">
      <c r="B52" s="95" t="s">
        <v>30</v>
      </c>
      <c r="C52" s="59">
        <f t="shared" ref="C52:I52" si="5">C49-C50</f>
        <v>4538615820.7800007</v>
      </c>
      <c r="D52" s="67">
        <f>D49-D50</f>
        <v>908547259.17000008</v>
      </c>
      <c r="E52" s="67">
        <f>E49-E50</f>
        <v>1829813442.2399998</v>
      </c>
      <c r="F52" s="59">
        <f t="shared" si="5"/>
        <v>178995354.88000003</v>
      </c>
      <c r="G52" s="59">
        <f t="shared" si="5"/>
        <v>0</v>
      </c>
      <c r="H52" s="59">
        <f t="shared" si="5"/>
        <v>19583620.140000001</v>
      </c>
      <c r="I52" s="78">
        <f t="shared" si="5"/>
        <v>0</v>
      </c>
      <c r="J52" s="34">
        <f t="shared" si="3"/>
        <v>83.9335143936555</v>
      </c>
      <c r="K52" s="34">
        <f t="shared" si="4"/>
        <v>20.018157408481827</v>
      </c>
      <c r="L52" s="22"/>
      <c r="M52" s="76"/>
    </row>
    <row r="53" spans="2:13" ht="22.5" outlineLevel="1" x14ac:dyDescent="0.2">
      <c r="B53" s="56" t="s">
        <v>72</v>
      </c>
      <c r="C53" s="53">
        <f>366247510.1</f>
        <v>366247510.10000002</v>
      </c>
      <c r="D53" s="53">
        <f>89738765.91</f>
        <v>89738765.909999996</v>
      </c>
      <c r="E53" s="53">
        <f>249268165.09</f>
        <v>249268165.09</v>
      </c>
      <c r="F53" s="53">
        <f>11270652.05</f>
        <v>11270652.050000001</v>
      </c>
      <c r="G53" s="53">
        <f>0</f>
        <v>0</v>
      </c>
      <c r="H53" s="53">
        <f>93.18</f>
        <v>93.18</v>
      </c>
      <c r="I53" s="79">
        <f>0</f>
        <v>0</v>
      </c>
      <c r="J53" s="34">
        <f t="shared" si="3"/>
        <v>8.2902566973310563</v>
      </c>
      <c r="K53" s="34">
        <f t="shared" si="4"/>
        <v>24.50221870054428</v>
      </c>
      <c r="L53" s="22"/>
      <c r="M53" s="75"/>
    </row>
    <row r="54" spans="2:13" ht="12.75" customHeight="1" outlineLevel="1" x14ac:dyDescent="0.2">
      <c r="B54" s="56" t="s">
        <v>26</v>
      </c>
      <c r="C54" s="61">
        <f>82155528.19</f>
        <v>82155528.189999998</v>
      </c>
      <c r="D54" s="61">
        <f>17854223.38</f>
        <v>17854223.379999999</v>
      </c>
      <c r="E54" s="61">
        <f>48894649.19</f>
        <v>48894649.189999998</v>
      </c>
      <c r="F54" s="61">
        <f>719782.02</f>
        <v>719782.02</v>
      </c>
      <c r="G54" s="61">
        <f>0</f>
        <v>0</v>
      </c>
      <c r="H54" s="61">
        <f>0</f>
        <v>0</v>
      </c>
      <c r="I54" s="80">
        <f>0</f>
        <v>0</v>
      </c>
      <c r="J54" s="34">
        <f t="shared" si="3"/>
        <v>1.6494108588493037</v>
      </c>
      <c r="K54" s="34">
        <f t="shared" si="4"/>
        <v>21.732223957843438</v>
      </c>
      <c r="L54" s="22"/>
      <c r="M54" s="75"/>
    </row>
    <row r="55" spans="2:13" ht="12.75" customHeight="1" outlineLevel="1" x14ac:dyDescent="0.2">
      <c r="B55" s="56" t="s">
        <v>25</v>
      </c>
      <c r="C55" s="53">
        <f>22069173</f>
        <v>22069173</v>
      </c>
      <c r="D55" s="53">
        <f>3533126.46</f>
        <v>3533126.46</v>
      </c>
      <c r="E55" s="53">
        <f>7187016.93</f>
        <v>7187016.9299999997</v>
      </c>
      <c r="F55" s="53">
        <f>330647.61</f>
        <v>330647.61</v>
      </c>
      <c r="G55" s="53">
        <f>0</f>
        <v>0</v>
      </c>
      <c r="H55" s="53">
        <f>0</f>
        <v>0</v>
      </c>
      <c r="I55" s="79">
        <f>0</f>
        <v>0</v>
      </c>
      <c r="J55" s="34">
        <f t="shared" si="3"/>
        <v>0.32639768332571406</v>
      </c>
      <c r="K55" s="34">
        <f t="shared" si="4"/>
        <v>16.009328759170089</v>
      </c>
      <c r="L55" s="22"/>
      <c r="M55" s="75"/>
    </row>
    <row r="56" spans="2:13" ht="22.5" customHeight="1" outlineLevel="1" x14ac:dyDescent="0.2">
      <c r="B56" s="56" t="s">
        <v>36</v>
      </c>
      <c r="C56" s="61">
        <f>0</f>
        <v>0</v>
      </c>
      <c r="D56" s="61">
        <f>0</f>
        <v>0</v>
      </c>
      <c r="E56" s="61">
        <f>0</f>
        <v>0</v>
      </c>
      <c r="F56" s="61">
        <f>0</f>
        <v>0</v>
      </c>
      <c r="G56" s="61">
        <f>0</f>
        <v>0</v>
      </c>
      <c r="H56" s="61">
        <f>0</f>
        <v>0</v>
      </c>
      <c r="I56" s="80">
        <f>0</f>
        <v>0</v>
      </c>
      <c r="J56" s="34">
        <f t="shared" si="3"/>
        <v>0</v>
      </c>
      <c r="K56" s="34" t="str">
        <f t="shared" si="4"/>
        <v/>
      </c>
      <c r="L56" s="22"/>
      <c r="M56" s="75"/>
    </row>
    <row r="57" spans="2:13" ht="22.5" outlineLevel="1" x14ac:dyDescent="0.2">
      <c r="B57" s="56" t="s">
        <v>37</v>
      </c>
      <c r="C57" s="61">
        <f>3012773</f>
        <v>3012773</v>
      </c>
      <c r="D57" s="61">
        <f>320151.04</f>
        <v>320151.03999999998</v>
      </c>
      <c r="E57" s="61">
        <f>980938.84</f>
        <v>980938.84</v>
      </c>
      <c r="F57" s="61">
        <f>43679.64</f>
        <v>43679.64</v>
      </c>
      <c r="G57" s="61">
        <f>0</f>
        <v>0</v>
      </c>
      <c r="H57" s="61">
        <f>0</f>
        <v>0</v>
      </c>
      <c r="I57" s="81">
        <f>0</f>
        <v>0</v>
      </c>
      <c r="J57" s="34">
        <f t="shared" si="3"/>
        <v>2.9576229142479663E-2</v>
      </c>
      <c r="K57" s="34">
        <f t="shared" si="4"/>
        <v>10.626457419792329</v>
      </c>
      <c r="L57" s="22"/>
      <c r="M57" s="75"/>
    </row>
    <row r="58" spans="2:13" ht="12.75" customHeight="1" outlineLevel="1" x14ac:dyDescent="0.2">
      <c r="B58" s="56" t="s">
        <v>24</v>
      </c>
      <c r="C58" s="53">
        <f t="shared" ref="C58:I58" si="6">C52-C53-C54-C55-C56-C57</f>
        <v>4065130836.4900007</v>
      </c>
      <c r="D58" s="53">
        <f>D52-D53-D54-D55-D56-D57</f>
        <v>797100992.38000011</v>
      </c>
      <c r="E58" s="71">
        <f>E52-E53-E54-E55-E56-E57</f>
        <v>1523482672.1899998</v>
      </c>
      <c r="F58" s="71">
        <f t="shared" si="6"/>
        <v>166630593.56</v>
      </c>
      <c r="G58" s="71">
        <f t="shared" si="6"/>
        <v>0</v>
      </c>
      <c r="H58" s="71">
        <f t="shared" si="6"/>
        <v>19583526.960000001</v>
      </c>
      <c r="I58" s="82">
        <f t="shared" si="6"/>
        <v>0</v>
      </c>
      <c r="J58" s="34">
        <f t="shared" si="3"/>
        <v>73.63787292500696</v>
      </c>
      <c r="K58" s="34">
        <f t="shared" si="4"/>
        <v>19.608249388308732</v>
      </c>
      <c r="L58" s="22"/>
      <c r="M58" s="75"/>
    </row>
    <row r="59" spans="2:13" x14ac:dyDescent="0.2">
      <c r="B59" s="93" t="s">
        <v>15</v>
      </c>
      <c r="C59" s="59">
        <f>C6-C49</f>
        <v>-306936174.63000011</v>
      </c>
      <c r="D59" s="67">
        <f>D6-D49</f>
        <v>311481107.4000001</v>
      </c>
      <c r="E59" s="72"/>
      <c r="F59" s="73"/>
      <c r="G59" s="73"/>
      <c r="H59" s="73"/>
      <c r="I59" s="143"/>
      <c r="J59" s="143"/>
      <c r="K59" s="62"/>
      <c r="L59" s="62"/>
      <c r="M59" s="43"/>
    </row>
    <row r="60" spans="2:13" outlineLevel="1" x14ac:dyDescent="0.2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2:13" outlineLevel="1" x14ac:dyDescent="0.2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  <row r="62" spans="2:13" outlineLevel="1" x14ac:dyDescent="0.2">
      <c r="B62" s="140" t="s">
        <v>99</v>
      </c>
      <c r="C62" s="139" t="s">
        <v>95</v>
      </c>
      <c r="D62" s="139"/>
      <c r="E62" s="139" t="s">
        <v>96</v>
      </c>
      <c r="F62" s="139"/>
      <c r="G62" s="119" t="s">
        <v>100</v>
      </c>
      <c r="H62" s="37"/>
      <c r="I62" s="37"/>
      <c r="J62" s="37"/>
      <c r="K62" s="37"/>
      <c r="L62" s="37"/>
      <c r="M62" s="37"/>
    </row>
    <row r="63" spans="2:13" outlineLevel="1" x14ac:dyDescent="0.2">
      <c r="B63" s="140"/>
      <c r="C63" s="120" t="s">
        <v>97</v>
      </c>
      <c r="D63" s="120" t="s">
        <v>98</v>
      </c>
      <c r="E63" s="120" t="s">
        <v>97</v>
      </c>
      <c r="F63" s="120" t="s">
        <v>98</v>
      </c>
      <c r="G63" s="120" t="s">
        <v>97</v>
      </c>
      <c r="H63" s="37"/>
      <c r="I63" s="37"/>
      <c r="J63" s="37"/>
      <c r="K63" s="37"/>
      <c r="L63" s="37"/>
      <c r="M63" s="37"/>
    </row>
    <row r="64" spans="2:13" outlineLevel="1" x14ac:dyDescent="0.2">
      <c r="B64" s="121" t="s">
        <v>101</v>
      </c>
      <c r="C64" s="122">
        <f>5</f>
        <v>5</v>
      </c>
      <c r="D64" s="123">
        <f>3518425.4</f>
        <v>3518425.4</v>
      </c>
      <c r="E64" s="122">
        <f>100</f>
        <v>100</v>
      </c>
      <c r="F64" s="123">
        <f>+-310454600.03</f>
        <v>-310454600.02999997</v>
      </c>
      <c r="G64" s="122">
        <f>154</f>
        <v>154</v>
      </c>
      <c r="H64" s="37"/>
      <c r="I64" s="37"/>
      <c r="J64" s="37"/>
      <c r="K64" s="37"/>
      <c r="L64" s="37"/>
      <c r="M64" s="37"/>
    </row>
    <row r="65" spans="2:16" outlineLevel="1" x14ac:dyDescent="0.2">
      <c r="B65" s="121" t="s">
        <v>102</v>
      </c>
      <c r="C65" s="122">
        <f>145</f>
        <v>145</v>
      </c>
      <c r="D65" s="123">
        <f>353127928.15</f>
        <v>353127928.14999998</v>
      </c>
      <c r="E65" s="122">
        <f>47</f>
        <v>47</v>
      </c>
      <c r="F65" s="123">
        <f>+-41646820.75</f>
        <v>-41646820.75</v>
      </c>
      <c r="G65" s="122">
        <f>67</f>
        <v>67</v>
      </c>
      <c r="H65" s="37"/>
      <c r="I65" s="37"/>
      <c r="J65" s="37"/>
      <c r="K65" s="37"/>
      <c r="L65" s="37"/>
      <c r="M65" s="37"/>
    </row>
    <row r="66" spans="2:16" outlineLevel="1" x14ac:dyDescent="0.2">
      <c r="B66" s="22"/>
      <c r="C66" s="22"/>
      <c r="D66" s="22"/>
      <c r="E66" s="22"/>
      <c r="F66" s="22"/>
      <c r="G66" s="22"/>
      <c r="H66" s="37"/>
      <c r="I66" s="37"/>
      <c r="J66" s="37"/>
      <c r="K66" s="37"/>
      <c r="L66" s="37"/>
      <c r="M66" s="37"/>
    </row>
    <row r="67" spans="2:16" outlineLevel="1" x14ac:dyDescent="0.2">
      <c r="B67" s="140" t="s">
        <v>103</v>
      </c>
      <c r="C67" s="139" t="s">
        <v>95</v>
      </c>
      <c r="D67" s="139"/>
      <c r="E67" s="139" t="s">
        <v>96</v>
      </c>
      <c r="F67" s="139"/>
      <c r="G67" s="119" t="s">
        <v>100</v>
      </c>
      <c r="H67" s="37"/>
      <c r="I67" s="37"/>
      <c r="J67" s="37"/>
      <c r="K67" s="37"/>
      <c r="L67" s="37"/>
      <c r="M67" s="37"/>
    </row>
    <row r="68" spans="2:16" outlineLevel="1" x14ac:dyDescent="0.2">
      <c r="B68" s="140"/>
      <c r="C68" s="120" t="s">
        <v>97</v>
      </c>
      <c r="D68" s="120" t="s">
        <v>98</v>
      </c>
      <c r="E68" s="120" t="s">
        <v>97</v>
      </c>
      <c r="F68" s="120" t="s">
        <v>98</v>
      </c>
      <c r="G68" s="120" t="s">
        <v>97</v>
      </c>
      <c r="H68" s="37"/>
      <c r="I68" s="37"/>
      <c r="J68" s="37"/>
      <c r="K68" s="37"/>
      <c r="L68" s="37"/>
      <c r="M68" s="37"/>
    </row>
    <row r="69" spans="2:16" outlineLevel="1" x14ac:dyDescent="0.2">
      <c r="B69" s="121" t="s">
        <v>101</v>
      </c>
      <c r="C69" s="122">
        <f>45</f>
        <v>45</v>
      </c>
      <c r="D69" s="123">
        <f>332221215.91</f>
        <v>332221215.91000003</v>
      </c>
      <c r="E69" s="122">
        <f>71</f>
        <v>71</v>
      </c>
      <c r="F69" s="123">
        <f>+-80847575.82</f>
        <v>-80847575.819999993</v>
      </c>
      <c r="G69" s="122">
        <f>143</f>
        <v>143</v>
      </c>
      <c r="H69" s="37"/>
      <c r="I69" s="37"/>
      <c r="J69" s="37"/>
      <c r="K69" s="37"/>
      <c r="L69" s="37"/>
      <c r="M69" s="37"/>
    </row>
    <row r="70" spans="2:16" outlineLevel="1" x14ac:dyDescent="0.2">
      <c r="B70" s="121" t="s">
        <v>102</v>
      </c>
      <c r="C70" s="122">
        <f>154</f>
        <v>154</v>
      </c>
      <c r="D70" s="123">
        <f>391731411.67</f>
        <v>391731411.67000002</v>
      </c>
      <c r="E70" s="122">
        <f>38</f>
        <v>38</v>
      </c>
      <c r="F70" s="123">
        <f>+-21619132.04</f>
        <v>-21619132.039999999</v>
      </c>
      <c r="G70" s="122">
        <f>67</f>
        <v>67</v>
      </c>
      <c r="H70" s="37"/>
      <c r="I70" s="37"/>
      <c r="J70" s="37"/>
      <c r="K70" s="37"/>
      <c r="L70" s="37"/>
      <c r="M70" s="37"/>
    </row>
    <row r="71" spans="2:16" outlineLevel="1" x14ac:dyDescent="0.2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</row>
    <row r="72" spans="2:16" x14ac:dyDescent="0.2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</row>
    <row r="73" spans="2:16" ht="18" customHeight="1" x14ac:dyDescent="0.2">
      <c r="B73" s="112" t="str">
        <f>CONCATENATE("Informacja z wykonania budżetów związków jednostek samorządu terytorialnego za ",$D$108," ",$C$109," rok        ",$C$111,"")</f>
        <v>Informacja z wykonania budżetów związków jednostek samorządu terytorialnego za I Kwartał 2025 rok        =""</v>
      </c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50"/>
    </row>
    <row r="74" spans="2:16" x14ac:dyDescent="0.2">
      <c r="B74" s="46" t="s">
        <v>16</v>
      </c>
      <c r="C74" s="69" t="s">
        <v>17</v>
      </c>
      <c r="D74" s="69" t="s">
        <v>1</v>
      </c>
      <c r="E74" s="147" t="s">
        <v>79</v>
      </c>
      <c r="F74" s="148"/>
      <c r="G74" s="148"/>
      <c r="H74" s="148"/>
      <c r="I74" s="149"/>
      <c r="J74" s="40" t="s">
        <v>21</v>
      </c>
      <c r="K74" s="40" t="s">
        <v>22</v>
      </c>
      <c r="L74" s="37"/>
      <c r="M74" s="37"/>
      <c r="N74" s="37"/>
      <c r="O74" s="37"/>
      <c r="P74" s="37"/>
    </row>
    <row r="75" spans="2:16" x14ac:dyDescent="0.2">
      <c r="B75" s="46"/>
      <c r="C75" s="125" t="s">
        <v>40</v>
      </c>
      <c r="D75" s="127"/>
      <c r="E75" s="150"/>
      <c r="F75" s="151"/>
      <c r="G75" s="151"/>
      <c r="H75" s="151"/>
      <c r="I75" s="152"/>
      <c r="J75" s="160" t="s">
        <v>4</v>
      </c>
      <c r="K75" s="161"/>
      <c r="L75" s="37"/>
      <c r="M75" s="37"/>
      <c r="N75" s="37"/>
      <c r="O75" s="37"/>
      <c r="P75" s="37"/>
    </row>
    <row r="76" spans="2:16" x14ac:dyDescent="0.2">
      <c r="B76" s="47">
        <v>1</v>
      </c>
      <c r="C76" s="48">
        <v>2</v>
      </c>
      <c r="D76" s="48">
        <v>3</v>
      </c>
      <c r="E76" s="153"/>
      <c r="F76" s="154"/>
      <c r="G76" s="154"/>
      <c r="H76" s="154"/>
      <c r="I76" s="155"/>
      <c r="J76" s="49">
        <v>4</v>
      </c>
      <c r="K76" s="49">
        <v>5</v>
      </c>
      <c r="L76" s="37"/>
      <c r="M76" s="37"/>
      <c r="N76" s="37"/>
      <c r="O76" s="37"/>
      <c r="P76" s="37"/>
    </row>
    <row r="77" spans="2:16" ht="27" customHeight="1" x14ac:dyDescent="0.2">
      <c r="B77" s="106" t="s">
        <v>31</v>
      </c>
      <c r="C77" s="27">
        <f>355078466.79</f>
        <v>355078466.79000002</v>
      </c>
      <c r="D77" s="27">
        <f>1181548980.93</f>
        <v>1181548980.9300001</v>
      </c>
      <c r="E77" s="102" t="s">
        <v>79</v>
      </c>
      <c r="F77" s="102" t="s">
        <v>79</v>
      </c>
      <c r="G77" s="102" t="s">
        <v>79</v>
      </c>
      <c r="H77" s="102" t="s">
        <v>79</v>
      </c>
      <c r="I77" s="102" t="s">
        <v>79</v>
      </c>
      <c r="J77" s="25">
        <f>IF($D$77=0,"",100*$D77/$D$77)</f>
        <v>100</v>
      </c>
      <c r="K77" s="21">
        <f t="shared" ref="K77:K91" si="7">IF(C77=0,"",100*D77/C77)</f>
        <v>332.75714847242199</v>
      </c>
      <c r="L77" s="37"/>
      <c r="M77" s="37"/>
      <c r="N77" s="37"/>
      <c r="O77" s="37"/>
      <c r="P77" s="37"/>
    </row>
    <row r="78" spans="2:16" ht="22.5" x14ac:dyDescent="0.2">
      <c r="B78" s="108" t="s">
        <v>60</v>
      </c>
      <c r="C78" s="28">
        <f>53156226</f>
        <v>53156226</v>
      </c>
      <c r="D78" s="28">
        <f>5594233.78</f>
        <v>5594233.7800000003</v>
      </c>
      <c r="E78" s="103" t="s">
        <v>79</v>
      </c>
      <c r="F78" s="103" t="s">
        <v>79</v>
      </c>
      <c r="G78" s="103" t="s">
        <v>79</v>
      </c>
      <c r="H78" s="103" t="s">
        <v>79</v>
      </c>
      <c r="I78" s="103" t="s">
        <v>79</v>
      </c>
      <c r="J78" s="32">
        <f t="shared" ref="J78:J87" si="8">IF($D$77=0,"",100*$D78/$D$77)</f>
        <v>0.47346609157047093</v>
      </c>
      <c r="K78" s="33">
        <f t="shared" si="7"/>
        <v>10.524136495318535</v>
      </c>
      <c r="L78" s="37"/>
      <c r="M78" s="37"/>
      <c r="N78" s="37"/>
      <c r="O78" s="37"/>
      <c r="P78" s="37"/>
    </row>
    <row r="79" spans="2:16" ht="22.5" x14ac:dyDescent="0.2">
      <c r="B79" s="109" t="s">
        <v>61</v>
      </c>
      <c r="C79" s="64">
        <f>0</f>
        <v>0</v>
      </c>
      <c r="D79" s="64">
        <f>0</f>
        <v>0</v>
      </c>
      <c r="E79" s="103" t="s">
        <v>79</v>
      </c>
      <c r="F79" s="103" t="s">
        <v>79</v>
      </c>
      <c r="G79" s="103" t="s">
        <v>79</v>
      </c>
      <c r="H79" s="103" t="s">
        <v>79</v>
      </c>
      <c r="I79" s="103" t="s">
        <v>79</v>
      </c>
      <c r="J79" s="65">
        <f t="shared" si="8"/>
        <v>0</v>
      </c>
      <c r="K79" s="60" t="str">
        <f t="shared" si="7"/>
        <v/>
      </c>
      <c r="L79" s="37"/>
      <c r="M79" s="37"/>
      <c r="N79" s="37"/>
      <c r="O79" s="37"/>
      <c r="P79" s="37"/>
    </row>
    <row r="80" spans="2:16" ht="12.75" customHeight="1" x14ac:dyDescent="0.2">
      <c r="B80" s="63" t="s">
        <v>62</v>
      </c>
      <c r="C80" s="64">
        <f>0</f>
        <v>0</v>
      </c>
      <c r="D80" s="64">
        <f>0</f>
        <v>0</v>
      </c>
      <c r="E80" s="103" t="s">
        <v>79</v>
      </c>
      <c r="F80" s="103" t="s">
        <v>79</v>
      </c>
      <c r="G80" s="103" t="s">
        <v>79</v>
      </c>
      <c r="H80" s="103" t="s">
        <v>79</v>
      </c>
      <c r="I80" s="103" t="s">
        <v>79</v>
      </c>
      <c r="J80" s="65">
        <f t="shared" si="8"/>
        <v>0</v>
      </c>
      <c r="K80" s="60" t="str">
        <f t="shared" si="7"/>
        <v/>
      </c>
      <c r="L80" s="37"/>
      <c r="M80" s="37"/>
      <c r="N80" s="37"/>
      <c r="O80" s="37"/>
      <c r="P80" s="37"/>
    </row>
    <row r="81" spans="2:16" ht="56.25" x14ac:dyDescent="0.2">
      <c r="B81" s="63" t="s">
        <v>73</v>
      </c>
      <c r="C81" s="64">
        <f>216986491.68</f>
        <v>216986491.68000001</v>
      </c>
      <c r="D81" s="64">
        <f>1003276396.54</f>
        <v>1003276396.54</v>
      </c>
      <c r="E81" s="103" t="s">
        <v>79</v>
      </c>
      <c r="F81" s="103" t="s">
        <v>79</v>
      </c>
      <c r="G81" s="103" t="s">
        <v>79</v>
      </c>
      <c r="H81" s="103" t="s">
        <v>79</v>
      </c>
      <c r="I81" s="103" t="s">
        <v>79</v>
      </c>
      <c r="J81" s="65">
        <f t="shared" si="8"/>
        <v>84.911959870704536</v>
      </c>
      <c r="K81" s="60">
        <f t="shared" si="7"/>
        <v>462.36813580984477</v>
      </c>
      <c r="L81" s="37"/>
      <c r="M81" s="37"/>
      <c r="N81" s="37"/>
      <c r="O81" s="37"/>
      <c r="P81" s="37"/>
    </row>
    <row r="82" spans="2:16" ht="35.25" customHeight="1" x14ac:dyDescent="0.2">
      <c r="B82" s="63" t="s">
        <v>75</v>
      </c>
      <c r="C82" s="64">
        <f>44166247.1</f>
        <v>44166247.100000001</v>
      </c>
      <c r="D82" s="64">
        <f>79769363.06</f>
        <v>79769363.060000002</v>
      </c>
      <c r="E82" s="103" t="s">
        <v>79</v>
      </c>
      <c r="F82" s="103" t="s">
        <v>79</v>
      </c>
      <c r="G82" s="103" t="s">
        <v>79</v>
      </c>
      <c r="H82" s="103" t="s">
        <v>79</v>
      </c>
      <c r="I82" s="103" t="s">
        <v>79</v>
      </c>
      <c r="J82" s="65">
        <f t="shared" si="8"/>
        <v>6.7512531725272478</v>
      </c>
      <c r="K82" s="60">
        <f t="shared" si="7"/>
        <v>180.61159436840626</v>
      </c>
      <c r="L82" s="37"/>
      <c r="M82" s="37"/>
      <c r="N82" s="37"/>
      <c r="O82" s="37"/>
      <c r="P82" s="37"/>
    </row>
    <row r="83" spans="2:16" ht="12.75" customHeight="1" x14ac:dyDescent="0.2">
      <c r="B83" s="63" t="s">
        <v>63</v>
      </c>
      <c r="C83" s="64">
        <f>0</f>
        <v>0</v>
      </c>
      <c r="D83" s="64">
        <f>0</f>
        <v>0</v>
      </c>
      <c r="E83" s="103" t="s">
        <v>79</v>
      </c>
      <c r="F83" s="103" t="s">
        <v>79</v>
      </c>
      <c r="G83" s="103" t="s">
        <v>79</v>
      </c>
      <c r="H83" s="103" t="s">
        <v>79</v>
      </c>
      <c r="I83" s="103" t="s">
        <v>79</v>
      </c>
      <c r="J83" s="65">
        <f t="shared" si="8"/>
        <v>0</v>
      </c>
      <c r="K83" s="60" t="str">
        <f t="shared" si="7"/>
        <v/>
      </c>
      <c r="L83" s="37"/>
      <c r="M83" s="37"/>
      <c r="N83" s="37"/>
      <c r="O83" s="37"/>
      <c r="P83" s="37"/>
    </row>
    <row r="84" spans="2:16" ht="33.75" x14ac:dyDescent="0.2">
      <c r="B84" s="63" t="s">
        <v>64</v>
      </c>
      <c r="C84" s="64">
        <f>40269502.01</f>
        <v>40269502.009999998</v>
      </c>
      <c r="D84" s="64">
        <f>72401195.02</f>
        <v>72401195.019999996</v>
      </c>
      <c r="E84" s="103" t="s">
        <v>79</v>
      </c>
      <c r="F84" s="103" t="s">
        <v>79</v>
      </c>
      <c r="G84" s="103" t="s">
        <v>79</v>
      </c>
      <c r="H84" s="103" t="s">
        <v>79</v>
      </c>
      <c r="I84" s="103" t="s">
        <v>79</v>
      </c>
      <c r="J84" s="65">
        <f t="shared" si="8"/>
        <v>6.1276507524057822</v>
      </c>
      <c r="K84" s="60">
        <f t="shared" si="7"/>
        <v>179.79163239222785</v>
      </c>
      <c r="L84" s="37"/>
      <c r="M84" s="37"/>
      <c r="N84" s="37"/>
      <c r="O84" s="37"/>
      <c r="P84" s="37"/>
    </row>
    <row r="85" spans="2:16" ht="56.25" x14ac:dyDescent="0.2">
      <c r="B85" s="63" t="s">
        <v>90</v>
      </c>
      <c r="C85" s="64"/>
      <c r="D85" s="64">
        <f>15166115.24</f>
        <v>15166115.24</v>
      </c>
      <c r="E85" s="103" t="s">
        <v>79</v>
      </c>
      <c r="F85" s="103" t="s">
        <v>79</v>
      </c>
      <c r="G85" s="103" t="s">
        <v>79</v>
      </c>
      <c r="H85" s="103" t="s">
        <v>79</v>
      </c>
      <c r="I85" s="103" t="s">
        <v>79</v>
      </c>
      <c r="J85" s="65">
        <f t="shared" si="8"/>
        <v>1.2835790546797912</v>
      </c>
      <c r="K85" s="60" t="str">
        <f>IF(C85=0,"",100*D85/C85)</f>
        <v/>
      </c>
      <c r="L85" s="37"/>
      <c r="M85" s="37"/>
      <c r="N85" s="37"/>
      <c r="O85" s="37"/>
      <c r="P85" s="37"/>
    </row>
    <row r="86" spans="2:16" x14ac:dyDescent="0.2">
      <c r="B86" s="63" t="s">
        <v>91</v>
      </c>
      <c r="C86" s="64">
        <f>500000</f>
        <v>500000</v>
      </c>
      <c r="D86" s="64">
        <f>5341677.29</f>
        <v>5341677.29</v>
      </c>
      <c r="E86" s="103" t="s">
        <v>79</v>
      </c>
      <c r="F86" s="103" t="s">
        <v>79</v>
      </c>
      <c r="G86" s="103" t="s">
        <v>79</v>
      </c>
      <c r="H86" s="103" t="s">
        <v>79</v>
      </c>
      <c r="I86" s="103" t="s">
        <v>79</v>
      </c>
      <c r="J86" s="65">
        <f t="shared" si="8"/>
        <v>0.4520910581121701</v>
      </c>
      <c r="K86" s="60">
        <f>IF(C86=0,"",100*D86/C86)</f>
        <v>1068.335458</v>
      </c>
      <c r="L86" s="37"/>
      <c r="M86" s="37"/>
      <c r="N86" s="37"/>
      <c r="O86" s="37"/>
      <c r="P86" s="37"/>
    </row>
    <row r="87" spans="2:16" ht="22.5" x14ac:dyDescent="0.2">
      <c r="B87" s="109" t="s">
        <v>92</v>
      </c>
      <c r="C87" s="64">
        <f>0</f>
        <v>0</v>
      </c>
      <c r="D87" s="64">
        <f>5273221.55</f>
        <v>5273221.55</v>
      </c>
      <c r="E87" s="103" t="s">
        <v>79</v>
      </c>
      <c r="F87" s="103" t="s">
        <v>79</v>
      </c>
      <c r="G87" s="103" t="s">
        <v>79</v>
      </c>
      <c r="H87" s="103" t="s">
        <v>79</v>
      </c>
      <c r="I87" s="103" t="s">
        <v>79</v>
      </c>
      <c r="J87" s="65">
        <f t="shared" si="8"/>
        <v>0.44629732961636803</v>
      </c>
      <c r="K87" s="60" t="str">
        <f t="shared" si="7"/>
        <v/>
      </c>
      <c r="L87" s="37"/>
      <c r="M87" s="37"/>
      <c r="N87" s="37"/>
      <c r="O87" s="37"/>
      <c r="P87" s="37"/>
    </row>
    <row r="88" spans="2:16" ht="27" customHeight="1" x14ac:dyDescent="0.2">
      <c r="B88" s="106" t="s">
        <v>32</v>
      </c>
      <c r="C88" s="31">
        <f>48142292.16</f>
        <v>48142292.159999996</v>
      </c>
      <c r="D88" s="31">
        <f>32591642.25</f>
        <v>32591642.25</v>
      </c>
      <c r="E88" s="104" t="s">
        <v>79</v>
      </c>
      <c r="F88" s="104" t="s">
        <v>79</v>
      </c>
      <c r="G88" s="104" t="s">
        <v>79</v>
      </c>
      <c r="H88" s="104" t="s">
        <v>79</v>
      </c>
      <c r="I88" s="104" t="s">
        <v>79</v>
      </c>
      <c r="J88" s="25">
        <f t="shared" ref="J88:J93" si="9">IF($D$88=0,"",100*$D88/$D$88)</f>
        <v>100</v>
      </c>
      <c r="K88" s="21">
        <f t="shared" si="7"/>
        <v>67.698567699440432</v>
      </c>
      <c r="L88" s="37"/>
      <c r="M88" s="37"/>
      <c r="N88" s="37"/>
      <c r="O88" s="37"/>
      <c r="P88" s="37"/>
    </row>
    <row r="89" spans="2:16" ht="22.5" x14ac:dyDescent="0.2">
      <c r="B89" s="108" t="s">
        <v>65</v>
      </c>
      <c r="C89" s="28">
        <f>32463734.76</f>
        <v>32463734.760000002</v>
      </c>
      <c r="D89" s="30">
        <f>9491951.08</f>
        <v>9491951.0800000001</v>
      </c>
      <c r="E89" s="105" t="s">
        <v>79</v>
      </c>
      <c r="F89" s="105" t="s">
        <v>79</v>
      </c>
      <c r="G89" s="105" t="s">
        <v>79</v>
      </c>
      <c r="H89" s="105" t="s">
        <v>79</v>
      </c>
      <c r="I89" s="105" t="s">
        <v>79</v>
      </c>
      <c r="J89" s="32">
        <f t="shared" si="9"/>
        <v>29.123880923797266</v>
      </c>
      <c r="K89" s="33">
        <f t="shared" si="7"/>
        <v>29.238629351098108</v>
      </c>
      <c r="L89" s="37"/>
      <c r="M89" s="37"/>
      <c r="N89" s="37"/>
      <c r="O89" s="37"/>
      <c r="P89" s="37"/>
    </row>
    <row r="90" spans="2:16" ht="12.75" customHeight="1" x14ac:dyDescent="0.2">
      <c r="B90" s="109" t="s">
        <v>66</v>
      </c>
      <c r="C90" s="64">
        <f>0</f>
        <v>0</v>
      </c>
      <c r="D90" s="64">
        <f>0</f>
        <v>0</v>
      </c>
      <c r="E90" s="105" t="s">
        <v>79</v>
      </c>
      <c r="F90" s="105" t="s">
        <v>79</v>
      </c>
      <c r="G90" s="105" t="s">
        <v>79</v>
      </c>
      <c r="H90" s="105" t="s">
        <v>79</v>
      </c>
      <c r="I90" s="105" t="s">
        <v>79</v>
      </c>
      <c r="J90" s="65">
        <f t="shared" si="9"/>
        <v>0</v>
      </c>
      <c r="K90" s="60" t="str">
        <f t="shared" si="7"/>
        <v/>
      </c>
      <c r="L90" s="37"/>
      <c r="M90" s="37"/>
      <c r="N90" s="37"/>
      <c r="O90" s="37"/>
      <c r="P90" s="37"/>
    </row>
    <row r="91" spans="2:16" ht="12.75" customHeight="1" x14ac:dyDescent="0.2">
      <c r="B91" s="63" t="s">
        <v>74</v>
      </c>
      <c r="C91" s="64">
        <f>5683522</f>
        <v>5683522</v>
      </c>
      <c r="D91" s="64">
        <f>0</f>
        <v>0</v>
      </c>
      <c r="E91" s="105" t="s">
        <v>79</v>
      </c>
      <c r="F91" s="105" t="s">
        <v>79</v>
      </c>
      <c r="G91" s="105" t="s">
        <v>79</v>
      </c>
      <c r="H91" s="105" t="s">
        <v>79</v>
      </c>
      <c r="I91" s="105" t="s">
        <v>79</v>
      </c>
      <c r="J91" s="65">
        <f t="shared" si="9"/>
        <v>0</v>
      </c>
      <c r="K91" s="60">
        <f t="shared" si="7"/>
        <v>0</v>
      </c>
      <c r="L91" s="37"/>
      <c r="M91" s="37"/>
      <c r="N91" s="37"/>
      <c r="O91" s="37"/>
      <c r="P91" s="37"/>
    </row>
    <row r="92" spans="2:16" ht="12.75" customHeight="1" x14ac:dyDescent="0.2">
      <c r="B92" s="63" t="s">
        <v>93</v>
      </c>
      <c r="C92" s="64">
        <f>9995035.4</f>
        <v>9995035.4000000004</v>
      </c>
      <c r="D92" s="64">
        <f>23099691.17</f>
        <v>23099691.170000002</v>
      </c>
      <c r="E92" s="105" t="s">
        <v>79</v>
      </c>
      <c r="F92" s="105" t="s">
        <v>79</v>
      </c>
      <c r="G92" s="105" t="s">
        <v>79</v>
      </c>
      <c r="H92" s="105" t="s">
        <v>79</v>
      </c>
      <c r="I92" s="105" t="s">
        <v>79</v>
      </c>
      <c r="J92" s="65">
        <f t="shared" si="9"/>
        <v>70.876119076202741</v>
      </c>
      <c r="K92" s="60">
        <f>IF(C92=0,"",100*D92/C92)</f>
        <v>231.11164938945589</v>
      </c>
      <c r="L92" s="37"/>
      <c r="M92" s="37"/>
      <c r="N92" s="37"/>
      <c r="O92" s="37"/>
      <c r="P92" s="37"/>
    </row>
    <row r="93" spans="2:16" ht="22.5" x14ac:dyDescent="0.2">
      <c r="B93" s="109" t="s">
        <v>94</v>
      </c>
      <c r="C93" s="64">
        <f>0</f>
        <v>0</v>
      </c>
      <c r="D93" s="64">
        <f>0</f>
        <v>0</v>
      </c>
      <c r="E93" s="105" t="s">
        <v>79</v>
      </c>
      <c r="F93" s="105" t="s">
        <v>79</v>
      </c>
      <c r="G93" s="105" t="s">
        <v>79</v>
      </c>
      <c r="H93" s="105" t="s">
        <v>79</v>
      </c>
      <c r="I93" s="105" t="s">
        <v>79</v>
      </c>
      <c r="J93" s="65">
        <f t="shared" si="9"/>
        <v>0</v>
      </c>
      <c r="K93" s="60" t="str">
        <f>IF(C93=0,"",100*D93/C93)</f>
        <v/>
      </c>
      <c r="L93" s="37"/>
      <c r="M93" s="37"/>
      <c r="N93" s="37"/>
      <c r="O93" s="37"/>
      <c r="P93" s="37"/>
    </row>
    <row r="94" spans="2:16" x14ac:dyDescent="0.2">
      <c r="B94" s="22"/>
      <c r="C94" s="22"/>
      <c r="D94" s="22"/>
      <c r="E94" s="22"/>
      <c r="F94" s="22"/>
      <c r="G94" s="22"/>
      <c r="H94" s="22"/>
      <c r="I94" s="37"/>
      <c r="J94" s="37"/>
      <c r="K94" s="37"/>
      <c r="L94" s="37"/>
      <c r="M94" s="37"/>
    </row>
    <row r="95" spans="2:16" x14ac:dyDescent="0.2">
      <c r="B95" s="44" t="s">
        <v>16</v>
      </c>
      <c r="C95" s="70" t="s">
        <v>17</v>
      </c>
      <c r="D95" s="13" t="s">
        <v>1</v>
      </c>
      <c r="E95" s="37"/>
      <c r="F95" s="37"/>
      <c r="G95" s="37"/>
      <c r="H95" s="37"/>
      <c r="I95" s="37"/>
    </row>
    <row r="96" spans="2:16" x14ac:dyDescent="0.2">
      <c r="B96" s="44"/>
      <c r="C96" s="128" t="s">
        <v>40</v>
      </c>
      <c r="D96" s="129"/>
      <c r="E96" s="37"/>
      <c r="F96" s="37"/>
      <c r="G96" s="37"/>
      <c r="H96" s="37"/>
      <c r="I96" s="37"/>
    </row>
    <row r="97" spans="2:13" x14ac:dyDescent="0.2">
      <c r="B97" s="23">
        <v>1</v>
      </c>
      <c r="C97" s="26">
        <v>2</v>
      </c>
      <c r="D97" s="24">
        <v>3</v>
      </c>
      <c r="E97" s="37"/>
      <c r="F97" s="37"/>
      <c r="G97" s="37"/>
      <c r="H97" s="37"/>
      <c r="I97" s="37"/>
    </row>
    <row r="98" spans="2:13" ht="36.75" customHeight="1" x14ac:dyDescent="0.2">
      <c r="B98" s="107" t="s">
        <v>89</v>
      </c>
      <c r="C98" s="29">
        <f>310454600.03</f>
        <v>310454600.02999997</v>
      </c>
      <c r="D98" s="85">
        <f>0</f>
        <v>0</v>
      </c>
      <c r="E98" s="37"/>
      <c r="F98" s="37"/>
      <c r="G98" s="37"/>
      <c r="H98" s="37"/>
      <c r="I98" s="37"/>
    </row>
    <row r="99" spans="2:13" ht="36" customHeight="1" x14ac:dyDescent="0.2">
      <c r="B99" s="110" t="s">
        <v>42</v>
      </c>
      <c r="C99" s="30">
        <f>0</f>
        <v>0</v>
      </c>
      <c r="D99" s="84">
        <f>0</f>
        <v>0</v>
      </c>
      <c r="E99" s="37"/>
      <c r="F99" s="37"/>
      <c r="G99" s="37"/>
      <c r="H99" s="37"/>
      <c r="I99" s="37"/>
    </row>
    <row r="100" spans="2:13" ht="12.75" customHeight="1" x14ac:dyDescent="0.2">
      <c r="B100" s="110" t="s">
        <v>43</v>
      </c>
      <c r="C100" s="30">
        <f>52165524</f>
        <v>52165524</v>
      </c>
      <c r="D100" s="84">
        <f>0</f>
        <v>0</v>
      </c>
      <c r="E100" s="37"/>
      <c r="F100" s="37"/>
      <c r="G100" s="37"/>
      <c r="H100" s="37"/>
      <c r="I100" s="37"/>
    </row>
    <row r="101" spans="2:13" ht="25.5" customHeight="1" x14ac:dyDescent="0.2">
      <c r="B101" s="110" t="s">
        <v>44</v>
      </c>
      <c r="C101" s="30">
        <f>0</f>
        <v>0</v>
      </c>
      <c r="D101" s="84">
        <f>0</f>
        <v>0</v>
      </c>
      <c r="E101" s="37"/>
      <c r="F101" s="37"/>
      <c r="G101" s="37"/>
      <c r="H101" s="37"/>
      <c r="I101" s="37"/>
    </row>
    <row r="102" spans="2:13" ht="57.75" customHeight="1" x14ac:dyDescent="0.2">
      <c r="B102" s="110" t="s">
        <v>76</v>
      </c>
      <c r="C102" s="30">
        <f>210399846.85</f>
        <v>210399846.84999999</v>
      </c>
      <c r="D102" s="84">
        <f>0</f>
        <v>0</v>
      </c>
      <c r="E102" s="37"/>
      <c r="F102" s="37"/>
      <c r="G102" s="37"/>
      <c r="H102" s="37"/>
      <c r="I102" s="37"/>
    </row>
    <row r="103" spans="2:13" ht="84" customHeight="1" x14ac:dyDescent="0.2">
      <c r="B103" s="110" t="s">
        <v>45</v>
      </c>
      <c r="C103" s="30">
        <f>10812929.19</f>
        <v>10812929.189999999</v>
      </c>
      <c r="D103" s="84">
        <f>0</f>
        <v>0</v>
      </c>
      <c r="E103" s="37"/>
      <c r="F103" s="37"/>
      <c r="G103" s="37"/>
      <c r="H103" s="37"/>
      <c r="I103" s="37"/>
    </row>
    <row r="104" spans="2:13" ht="149.25" customHeight="1" x14ac:dyDescent="0.2">
      <c r="B104" s="110" t="s">
        <v>77</v>
      </c>
      <c r="C104" s="30">
        <f>37076299.99</f>
        <v>37076299.990000002</v>
      </c>
      <c r="D104" s="84">
        <f>0</f>
        <v>0</v>
      </c>
      <c r="E104" s="37"/>
      <c r="F104" s="37"/>
      <c r="G104" s="37"/>
      <c r="H104" s="37"/>
      <c r="I104" s="37"/>
    </row>
    <row r="105" spans="2:13" ht="24" customHeight="1" x14ac:dyDescent="0.2">
      <c r="B105" s="110" t="s">
        <v>78</v>
      </c>
      <c r="C105" s="30">
        <f>0</f>
        <v>0</v>
      </c>
      <c r="D105" s="84">
        <f>0</f>
        <v>0</v>
      </c>
      <c r="E105" s="37"/>
      <c r="F105" s="37"/>
      <c r="G105" s="37"/>
      <c r="H105" s="37"/>
      <c r="I105" s="37"/>
    </row>
    <row r="106" spans="2:13" ht="24" customHeight="1" x14ac:dyDescent="0.2">
      <c r="B106" s="110" t="s">
        <v>92</v>
      </c>
      <c r="C106" s="30">
        <f>0</f>
        <v>0</v>
      </c>
      <c r="D106" s="84">
        <f>0</f>
        <v>0</v>
      </c>
      <c r="E106" s="37"/>
      <c r="F106" s="37"/>
      <c r="G106" s="37"/>
      <c r="H106" s="37"/>
      <c r="I106" s="37"/>
    </row>
    <row r="107" spans="2:13" ht="13.5" customHeight="1" x14ac:dyDescent="0.2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</row>
    <row r="108" spans="2:13" x14ac:dyDescent="0.2">
      <c r="B108" s="116" t="s">
        <v>33</v>
      </c>
      <c r="C108" s="114">
        <f>1</f>
        <v>1</v>
      </c>
      <c r="D108" s="114" t="str">
        <f>IF(C108=1,"I Kwartał",IF(C108=2,"II Kwartały",IF(C108=3,"III Kwartały",IF(C108=4,"IV Kwartały",IF(C108="M1","Styczeń",IF(C108="M11","Listopad",IF(C108="M12","Grudzień","-")))))))</f>
        <v>I Kwartał</v>
      </c>
      <c r="E108" s="37"/>
      <c r="F108" s="37"/>
      <c r="G108" s="37"/>
      <c r="H108" s="37"/>
      <c r="I108" s="37"/>
      <c r="J108" s="37"/>
      <c r="K108" s="37"/>
      <c r="L108" s="37"/>
      <c r="M108" s="37"/>
    </row>
    <row r="109" spans="2:13" ht="11.25" customHeight="1" x14ac:dyDescent="0.2">
      <c r="B109" s="116" t="s">
        <v>34</v>
      </c>
      <c r="C109" s="115">
        <f>2025</f>
        <v>2025</v>
      </c>
      <c r="D109" s="36"/>
      <c r="E109" s="37"/>
      <c r="F109" s="37"/>
      <c r="G109" s="37"/>
      <c r="H109" s="37"/>
      <c r="I109" s="37"/>
      <c r="J109" s="37"/>
      <c r="K109" s="37"/>
      <c r="L109" s="37"/>
      <c r="M109" s="37"/>
    </row>
    <row r="110" spans="2:13" ht="10.5" customHeight="1" x14ac:dyDescent="0.2">
      <c r="B110" s="116" t="s">
        <v>35</v>
      </c>
      <c r="C110" s="145" t="str">
        <f>"May 17 2025 12:00AM"</f>
        <v>May 17 2025 12:00AM</v>
      </c>
      <c r="D110" s="146"/>
      <c r="E110" s="37"/>
      <c r="F110" s="37"/>
      <c r="G110" s="37"/>
      <c r="H110" s="37"/>
      <c r="I110" s="37"/>
      <c r="J110" s="37"/>
      <c r="K110" s="37"/>
      <c r="L110" s="37"/>
      <c r="M110" s="37"/>
    </row>
    <row r="111" spans="2:13" hidden="1" x14ac:dyDescent="0.2">
      <c r="B111" s="1" t="s">
        <v>88</v>
      </c>
      <c r="C111" s="118" t="s">
        <v>104</v>
      </c>
    </row>
  </sheetData>
  <mergeCells count="28">
    <mergeCell ref="C110:D110"/>
    <mergeCell ref="E74:I76"/>
    <mergeCell ref="K44:K46"/>
    <mergeCell ref="B44:B47"/>
    <mergeCell ref="I44:I46"/>
    <mergeCell ref="J44:J46"/>
    <mergeCell ref="D44:D46"/>
    <mergeCell ref="J75:K75"/>
    <mergeCell ref="B62:B63"/>
    <mergeCell ref="J4:L4"/>
    <mergeCell ref="J47:K47"/>
    <mergeCell ref="E44:E46"/>
    <mergeCell ref="C44:C46"/>
    <mergeCell ref="I59:J59"/>
    <mergeCell ref="G45:H45"/>
    <mergeCell ref="F44:H44"/>
    <mergeCell ref="B3:B4"/>
    <mergeCell ref="F45:F46"/>
    <mergeCell ref="C75:D75"/>
    <mergeCell ref="C96:D96"/>
    <mergeCell ref="C47:I47"/>
    <mergeCell ref="E4:I5"/>
    <mergeCell ref="C4:D4"/>
    <mergeCell ref="E62:F62"/>
    <mergeCell ref="B67:B68"/>
    <mergeCell ref="C67:D67"/>
    <mergeCell ref="C62:D62"/>
    <mergeCell ref="E67:F67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6383" man="1"/>
    <brk id="40" max="16383" man="1"/>
    <brk id="72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doch_wyd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2025-02-07T10:59:12Z</cp:lastPrinted>
  <dcterms:created xsi:type="dcterms:W3CDTF">2001-05-17T08:58:03Z</dcterms:created>
  <dcterms:modified xsi:type="dcterms:W3CDTF">2025-05-21T12:00:12Z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2025-01-31T14:24:24.5667389+01:00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GRN-59a8bf38-d3d9-4808-a058-52611e7ed5a3</vt:lpwstr>
  </property>
  <property fmtid="{D5CDD505-2E9C-101B-9397-08002B2CF9AE}" pid="7" name="MFHash">
    <vt:lpwstr>wgvoo3FO2SjwtL5qdrgz+xzm7m5PrsTfiGGb6v7vF2c=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