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<sst xmlns="http://schemas.openxmlformats.org/spreadsheetml/2006/main" count="98" uniqueCount="79">
  <si>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</si>
  <si>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</si>
  <si>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</si>
  <si>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</si>
  <si>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</si>
  <si>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</si>
  <si>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</si>
  <si>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</si>
  <si>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</si>
  <si>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</si>
  <si>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</si>
  <si>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</si>
  <si>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</si>
  <si>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</si>
  <si>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</si>
  <si>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</si>
  <si>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</si>
  <si>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</si>
  <si>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</si>
  <si>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</si>
  <si>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</si>
  <si>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</si>
  <si>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</si>
  <si>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</si>
  <si>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</si>
  <si>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</si>
  <si>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</si>
  <si>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</si>
  <si>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</si>
  <si>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</si>
  <si>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</si>
  <si>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</si>
  <si>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</si>
  <si>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</si>
  <si>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</si>
  <si>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</si>
  <si>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</si>
  <si>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</si>
  <si>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</si>
  <si>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</si>
  <si>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</si>
  <si>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</si>
  <si>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</si>
  <si>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</si>
  <si>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</si>
  <si>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</si>
  <si>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</si>
  <si>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</si>
  <si>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</si>
  <si>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</si>
  <si>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</si>
  <si>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</si>
  <si>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</si>
  <si>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</si>
  <si>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</si>
  <si>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</si>
  <si>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</si>
  <si>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</si>
  <si>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</si>
  <si>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</si>
  <si>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</si>
  <si>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</si>
  <si>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</si>
  <si>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</si>
  <si>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</si>
  <si>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</si>
  <si>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</si>
  <si>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</si>
  <si>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</si>
  <si>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</si>
  <si>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</si>
  <si>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</si>
  <si>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</si>
  <si>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</si>
  <si>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</si>
  <si>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</si>
  <si>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</si>
  <si>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</si>
  <si>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 xml:space="preserve">Informacja z wykonania budżetów gmin za I Kwartał 2018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</si>
</sst>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3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indent="1"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9" fillId="50" borderId="21" xfId="0" applyFont="1" applyFill="1" applyBorder="1" applyAlignment="1">
      <alignment wrapText="1"/>
    </xf>
    <xf numFmtId="0" fontId="29" fillId="50" borderId="22" xfId="0" applyFont="1" applyFill="1" applyBorder="1" applyAlignment="1">
      <alignment wrapText="1"/>
    </xf>
    <xf numFmtId="0" fontId="29" fillId="50" borderId="22" xfId="0" applyFont="1" applyFill="1" applyBorder="1" applyAlignment="1">
      <alignment vertical="center"/>
    </xf>
    <xf numFmtId="0" fontId="29" fillId="50" borderId="21" xfId="0" applyFont="1" applyFill="1" applyBorder="1" applyAlignment="1">
      <alignment horizontal="left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30" fillId="50" borderId="21" xfId="0" applyFont="1" applyFill="1" applyBorder="1" applyAlignment="1">
      <alignment vertical="center" wrapText="1"/>
    </xf>
    <xf numFmtId="4" fontId="7" fillId="50" borderId="19" xfId="88" applyNumberFormat="1" applyFont="1" applyFill="1" applyBorder="1" applyAlignment="1">
      <alignment vertical="center" wrapText="1"/>
      <protection/>
    </xf>
    <xf numFmtId="4" fontId="3" fillId="2" borderId="23" xfId="88" applyNumberFormat="1" applyFont="1" applyFill="1" applyBorder="1" applyAlignment="1">
      <alignment horizontal="center" vertical="center" wrapText="1"/>
      <protection/>
    </xf>
    <xf numFmtId="4" fontId="3" fillId="2" borderId="24" xfId="8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" borderId="26" xfId="88" applyFont="1" applyFill="1" applyBorder="1" applyAlignment="1">
      <alignment horizontal="center" vertical="center" wrapText="1"/>
      <protection/>
    </xf>
    <xf numFmtId="0" fontId="28" fillId="2" borderId="27" xfId="88" applyFont="1" applyFill="1" applyBorder="1" applyAlignment="1">
      <alignment horizontal="center" vertical="center" wrapText="1"/>
      <protection/>
    </xf>
    <xf numFmtId="0" fontId="28" fillId="2" borderId="20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0" borderId="25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0" borderId="25" xfId="88" applyNumberFormat="1" applyFont="1" applyBorder="1" applyAlignment="1">
      <alignment horizontal="righ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5" xfId="88" applyFont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5" xfId="88" applyFont="1" applyFill="1" applyBorder="1" applyAlignment="1">
      <alignment horizontal="lef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3" fontId="7" fillId="0" borderId="25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5" xfId="88" applyNumberFormat="1" applyFont="1" applyFill="1" applyBorder="1" applyAlignment="1">
      <alignment horizontal="right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e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4.75390625" style="2" customWidth="1"/>
    <col min="4" max="4" width="13.25390625" style="2" customWidth="1"/>
    <col min="5" max="5" width="10.125" style="2" bestFit="1" customWidth="1"/>
    <col min="6" max="7" width="11.25390625" style="2" bestFit="1" customWidth="1"/>
    <col min="8" max="8" width="9.375" style="2" bestFit="1" customWidth="1"/>
    <col min="9" max="9" width="10.625" style="2" customWidth="1"/>
    <col min="10" max="10" width="12.00390625" style="2" bestFit="1" customWidth="1"/>
    <col min="11" max="11" width="10.125" style="2" bestFit="1" customWidth="1"/>
    <col min="12" max="12" width="13.25390625" style="2" customWidth="1"/>
    <col min="13" max="13" width="11.25390625" style="2" bestFit="1" customWidth="1"/>
    <col min="14" max="14" width="10.875" style="2" bestFit="1" customWidth="1"/>
    <col min="15" max="15" width="9.25390625" style="2" bestFit="1" customWidth="1"/>
    <col min="16" max="16" width="9.375" style="2" bestFit="1" customWidth="1"/>
    <col min="17" max="17" width="9.875" style="2" bestFit="1" customWidth="1"/>
    <col min="18" max="16384" width="9.125" style="2" customWidth="1"/>
  </cols>
  <sheetData>
    <row r="1" spans="1:13" ht="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2:17" ht="13.5" customHeight="1">
      <c r="B5" s="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8"/>
      <c r="O5" s="8"/>
      <c r="P5" s="8"/>
      <c r="Q5" s="8"/>
    </row>
    <row r="6" spans="1:17" ht="13.5" customHeight="1">
      <c r="A6" s="56" t="s">
        <v>0</v>
      </c>
      <c r="B6" s="55" t="s">
        <v>63</v>
      </c>
      <c r="C6" s="47" t="s">
        <v>67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94" t="s">
        <v>66</v>
      </c>
      <c r="P6" s="95"/>
      <c r="Q6" s="96"/>
    </row>
    <row r="7" spans="1:17" ht="13.5" customHeight="1">
      <c r="A7" s="57"/>
      <c r="B7" s="42"/>
      <c r="C7" s="43" t="s">
        <v>64</v>
      </c>
      <c r="D7" s="43" t="s">
        <v>75</v>
      </c>
      <c r="E7" s="43" t="s">
        <v>68</v>
      </c>
      <c r="F7" s="43" t="s">
        <v>69</v>
      </c>
      <c r="G7" s="43" t="s">
        <v>24</v>
      </c>
      <c r="H7" s="43" t="s">
        <v>25</v>
      </c>
      <c r="I7" s="59" t="s">
        <v>65</v>
      </c>
      <c r="J7" s="43" t="s">
        <v>13</v>
      </c>
      <c r="K7" s="43" t="s">
        <v>14</v>
      </c>
      <c r="L7" s="43" t="s">
        <v>15</v>
      </c>
      <c r="M7" s="43" t="s">
        <v>16</v>
      </c>
      <c r="N7" s="42" t="s">
        <v>17</v>
      </c>
      <c r="O7" s="46" t="s">
        <v>18</v>
      </c>
      <c r="P7" s="46" t="s">
        <v>19</v>
      </c>
      <c r="Q7" s="46" t="s">
        <v>20</v>
      </c>
    </row>
    <row r="8" spans="1:17" ht="13.5" customHeight="1">
      <c r="A8" s="57"/>
      <c r="B8" s="42"/>
      <c r="C8" s="44"/>
      <c r="D8" s="44"/>
      <c r="E8" s="44"/>
      <c r="F8" s="44"/>
      <c r="G8" s="44"/>
      <c r="H8" s="44"/>
      <c r="I8" s="59"/>
      <c r="J8" s="44"/>
      <c r="K8" s="44"/>
      <c r="L8" s="44"/>
      <c r="M8" s="44"/>
      <c r="N8" s="42"/>
      <c r="O8" s="46"/>
      <c r="P8" s="46"/>
      <c r="Q8" s="46"/>
    </row>
    <row r="9" spans="1:17" ht="11.25" customHeight="1">
      <c r="A9" s="57"/>
      <c r="B9" s="42"/>
      <c r="C9" s="44"/>
      <c r="D9" s="44"/>
      <c r="E9" s="44"/>
      <c r="F9" s="44"/>
      <c r="G9" s="44"/>
      <c r="H9" s="44"/>
      <c r="I9" s="59"/>
      <c r="J9" s="44"/>
      <c r="K9" s="44"/>
      <c r="L9" s="44"/>
      <c r="M9" s="44"/>
      <c r="N9" s="42"/>
      <c r="O9" s="46"/>
      <c r="P9" s="46"/>
      <c r="Q9" s="46"/>
    </row>
    <row r="10" spans="1:17" ht="16.5" customHeight="1">
      <c r="A10" s="58"/>
      <c r="B10" s="43"/>
      <c r="C10" s="44"/>
      <c r="D10" s="44"/>
      <c r="E10" s="44"/>
      <c r="F10" s="44"/>
      <c r="G10" s="44"/>
      <c r="H10" s="44"/>
      <c r="I10" s="60"/>
      <c r="J10" s="44"/>
      <c r="K10" s="44"/>
      <c r="L10" s="44"/>
      <c r="M10" s="44"/>
      <c r="N10" s="43"/>
      <c r="O10" s="46"/>
      <c r="P10" s="46"/>
      <c r="Q10" s="46"/>
    </row>
    <row r="11" spans="1:17" ht="16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35" t="s">
        <v>77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8"/>
    </row>
    <row r="13" spans="1:17" ht="48">
      <c r="A13" s="26" t="s">
        <v>44</v>
      </c>
      <c r="B13" s="27">
        <f>24159596502.74</f>
        <v>24159596502.74</v>
      </c>
      <c r="C13" s="27">
        <f>24158362700.22</f>
        <v>24158362700.22</v>
      </c>
      <c r="D13" s="27">
        <f>2306410682.92</f>
        <v>2306410682.92</v>
      </c>
      <c r="E13" s="27">
        <f>300725949</f>
        <v>300725949</v>
      </c>
      <c r="F13" s="27">
        <f>220920618.94</f>
        <v>220920618.94</v>
      </c>
      <c r="G13" s="27">
        <f>1778006074.72</f>
        <v>1778006074.72</v>
      </c>
      <c r="H13" s="27">
        <f>6758040.26</f>
        <v>6758040.26</v>
      </c>
      <c r="I13" s="27">
        <f>0</f>
        <v>0</v>
      </c>
      <c r="J13" s="27">
        <f>21277709577.18</f>
        <v>21277709577.18</v>
      </c>
      <c r="K13" s="27">
        <f>443696713.55</f>
        <v>443696713.55</v>
      </c>
      <c r="L13" s="27">
        <f>89615771.56</f>
        <v>89615771.56</v>
      </c>
      <c r="M13" s="27">
        <f>23642007.1</f>
        <v>23642007.1</v>
      </c>
      <c r="N13" s="27">
        <f>17287947.91</f>
        <v>17287947.91</v>
      </c>
      <c r="O13" s="27">
        <f>1233802.52</f>
        <v>1233802.52</v>
      </c>
      <c r="P13" s="27">
        <f>1233802.52</f>
        <v>1233802.52</v>
      </c>
      <c r="Q13" s="27">
        <f>0</f>
        <v>0</v>
      </c>
    </row>
    <row r="14" spans="1:17" ht="26.25" customHeight="1">
      <c r="A14" s="28" t="s">
        <v>45</v>
      </c>
      <c r="B14" s="27">
        <f>243488488.83</f>
        <v>243488488.83</v>
      </c>
      <c r="C14" s="27">
        <f>243488488.83</f>
        <v>243488488.83</v>
      </c>
      <c r="D14" s="27">
        <f>4314933.83</f>
        <v>4314933.83</v>
      </c>
      <c r="E14" s="27">
        <f>2264933.83</f>
        <v>2264933.83</v>
      </c>
      <c r="F14" s="27">
        <f>0</f>
        <v>0</v>
      </c>
      <c r="G14" s="27">
        <f>2050000</f>
        <v>2050000</v>
      </c>
      <c r="H14" s="27">
        <f>0</f>
        <v>0</v>
      </c>
      <c r="I14" s="27">
        <f>0</f>
        <v>0</v>
      </c>
      <c r="J14" s="27">
        <f>212469555</f>
        <v>212469555</v>
      </c>
      <c r="K14" s="27">
        <f>26704000</f>
        <v>26704000</v>
      </c>
      <c r="L14" s="27">
        <f>0</f>
        <v>0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</row>
    <row r="15" spans="1:17" ht="27" customHeight="1">
      <c r="A15" s="18" t="s">
        <v>46</v>
      </c>
      <c r="B15" s="32">
        <f>0</f>
        <v>0</v>
      </c>
      <c r="C15" s="32">
        <f>0</f>
        <v>0</v>
      </c>
      <c r="D15" s="32">
        <f>0</f>
        <v>0</v>
      </c>
      <c r="E15" s="32">
        <f>0</f>
        <v>0</v>
      </c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2">
        <f>0</f>
        <v>0</v>
      </c>
      <c r="K15" s="32">
        <f>0</f>
        <v>0</v>
      </c>
      <c r="L15" s="32">
        <f>0</f>
        <v>0</v>
      </c>
      <c r="M15" s="32">
        <f>0</f>
        <v>0</v>
      </c>
      <c r="N15" s="32">
        <f>0</f>
        <v>0</v>
      </c>
      <c r="O15" s="32">
        <f>0</f>
        <v>0</v>
      </c>
      <c r="P15" s="32">
        <f>0</f>
        <v>0</v>
      </c>
      <c r="Q15" s="32">
        <f>0</f>
        <v>0</v>
      </c>
    </row>
    <row r="16" spans="1:17" ht="24" customHeight="1">
      <c r="A16" s="18" t="s">
        <v>47</v>
      </c>
      <c r="B16" s="32">
        <f>243488488.83</f>
        <v>243488488.83</v>
      </c>
      <c r="C16" s="32">
        <f>243488488.83</f>
        <v>243488488.83</v>
      </c>
      <c r="D16" s="32">
        <f>4314933.83</f>
        <v>4314933.83</v>
      </c>
      <c r="E16" s="32">
        <f>2264933.83</f>
        <v>2264933.83</v>
      </c>
      <c r="F16" s="32">
        <f>0</f>
        <v>0</v>
      </c>
      <c r="G16" s="32">
        <f>2050000</f>
        <v>2050000</v>
      </c>
      <c r="H16" s="32">
        <f>0</f>
        <v>0</v>
      </c>
      <c r="I16" s="32">
        <f>0</f>
        <v>0</v>
      </c>
      <c r="J16" s="32">
        <f>212469555</f>
        <v>212469555</v>
      </c>
      <c r="K16" s="32">
        <f>26704000</f>
        <v>26704000</v>
      </c>
      <c r="L16" s="32">
        <f>0</f>
        <v>0</v>
      </c>
      <c r="M16" s="32">
        <f>0</f>
        <v>0</v>
      </c>
      <c r="N16" s="32">
        <f>0</f>
        <v>0</v>
      </c>
      <c r="O16" s="32">
        <f>0</f>
        <v>0</v>
      </c>
      <c r="P16" s="32">
        <f>0</f>
        <v>0</v>
      </c>
      <c r="Q16" s="32">
        <f>0</f>
        <v>0</v>
      </c>
    </row>
    <row r="17" spans="1:17" ht="31.5" customHeight="1">
      <c r="A17" s="29" t="s">
        <v>48</v>
      </c>
      <c r="B17" s="27">
        <f>23858606989.69</f>
        <v>23858606989.69</v>
      </c>
      <c r="C17" s="27">
        <f>23857373187.17</f>
        <v>23857373187.17</v>
      </c>
      <c r="D17" s="27">
        <f>2289658394.34</f>
        <v>2289658394.34</v>
      </c>
      <c r="E17" s="27">
        <f>296813268.94</f>
        <v>296813268.94</v>
      </c>
      <c r="F17" s="27">
        <f>220363469.87</f>
        <v>220363469.87</v>
      </c>
      <c r="G17" s="27">
        <f>1768653724.9</f>
        <v>1768653724.9</v>
      </c>
      <c r="H17" s="27">
        <f>3827930.63</f>
        <v>3827930.63</v>
      </c>
      <c r="I17" s="27">
        <f>0</f>
        <v>0</v>
      </c>
      <c r="J17" s="27">
        <f>21064994480.38</f>
        <v>21064994480.38</v>
      </c>
      <c r="K17" s="27">
        <f>408542310.94</f>
        <v>408542310.94</v>
      </c>
      <c r="L17" s="27">
        <f>73666492.53</f>
        <v>73666492.53</v>
      </c>
      <c r="M17" s="27">
        <f>7600929.2</f>
        <v>7600929.2</v>
      </c>
      <c r="N17" s="27">
        <f>12910579.78</f>
        <v>12910579.78</v>
      </c>
      <c r="O17" s="27">
        <f>1233802.52</f>
        <v>1233802.52</v>
      </c>
      <c r="P17" s="27">
        <f>1233802.52</f>
        <v>1233802.52</v>
      </c>
      <c r="Q17" s="27">
        <f>0</f>
        <v>0</v>
      </c>
    </row>
    <row r="18" spans="1:17" ht="33" customHeight="1">
      <c r="A18" s="19" t="s">
        <v>49</v>
      </c>
      <c r="B18" s="32">
        <f>262724092.75</f>
        <v>262724092.75</v>
      </c>
      <c r="C18" s="32">
        <f>262724092.75</f>
        <v>262724092.75</v>
      </c>
      <c r="D18" s="32">
        <f>72919729.19</f>
        <v>72919729.19</v>
      </c>
      <c r="E18" s="32">
        <f>53473220.8</f>
        <v>53473220.8</v>
      </c>
      <c r="F18" s="32">
        <f>2101271.88</f>
        <v>2101271.88</v>
      </c>
      <c r="G18" s="32">
        <f>16590761.51</f>
        <v>16590761.51</v>
      </c>
      <c r="H18" s="32">
        <f>754475</f>
        <v>754475</v>
      </c>
      <c r="I18" s="32">
        <f>0</f>
        <v>0</v>
      </c>
      <c r="J18" s="32">
        <f>186571873.22</f>
        <v>186571873.22</v>
      </c>
      <c r="K18" s="32">
        <f>809400.11</f>
        <v>809400.11</v>
      </c>
      <c r="L18" s="32">
        <f>628002.51</f>
        <v>628002.51</v>
      </c>
      <c r="M18" s="32">
        <f>1339289.5</f>
        <v>1339289.5</v>
      </c>
      <c r="N18" s="32">
        <f>455798.22</f>
        <v>455798.22</v>
      </c>
      <c r="O18" s="32">
        <f>0</f>
        <v>0</v>
      </c>
      <c r="P18" s="32">
        <f>0</f>
        <v>0</v>
      </c>
      <c r="Q18" s="32">
        <f>0</f>
        <v>0</v>
      </c>
    </row>
    <row r="19" spans="1:17" ht="25.5" customHeight="1">
      <c r="A19" s="20" t="s">
        <v>50</v>
      </c>
      <c r="B19" s="32">
        <f>23595882896.94</f>
        <v>23595882896.94</v>
      </c>
      <c r="C19" s="32">
        <f>23594649094.42</f>
        <v>23594649094.42</v>
      </c>
      <c r="D19" s="32">
        <f>2216738665.15</f>
        <v>2216738665.15</v>
      </c>
      <c r="E19" s="32">
        <f>243340048.14</f>
        <v>243340048.14</v>
      </c>
      <c r="F19" s="32">
        <f>218262197.99</f>
        <v>218262197.99</v>
      </c>
      <c r="G19" s="32">
        <f>1752062963.39</f>
        <v>1752062963.39</v>
      </c>
      <c r="H19" s="32">
        <f>3073455.63</f>
        <v>3073455.63</v>
      </c>
      <c r="I19" s="32">
        <f>0</f>
        <v>0</v>
      </c>
      <c r="J19" s="32">
        <f>20878422607.16</f>
        <v>20878422607.16</v>
      </c>
      <c r="K19" s="32">
        <f>407732910.83</f>
        <v>407732910.83</v>
      </c>
      <c r="L19" s="32">
        <f>73038490.02</f>
        <v>73038490.02</v>
      </c>
      <c r="M19" s="32">
        <f>6261639.7</f>
        <v>6261639.7</v>
      </c>
      <c r="N19" s="32">
        <f>12454781.56</f>
        <v>12454781.56</v>
      </c>
      <c r="O19" s="32">
        <f>1233802.52</f>
        <v>1233802.52</v>
      </c>
      <c r="P19" s="32">
        <f>1233802.52</f>
        <v>1233802.52</v>
      </c>
      <c r="Q19" s="32">
        <f>0</f>
        <v>0</v>
      </c>
    </row>
    <row r="20" spans="1:17" ht="27.75" customHeight="1">
      <c r="A20" s="30" t="s">
        <v>51</v>
      </c>
      <c r="B20" s="27">
        <f>0</f>
        <v>0</v>
      </c>
      <c r="C20" s="27">
        <f>0</f>
        <v>0</v>
      </c>
      <c r="D20" s="27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6">
      <c r="A21" s="31" t="s">
        <v>52</v>
      </c>
      <c r="B21" s="27">
        <f>57501024.22</f>
        <v>57501024.22</v>
      </c>
      <c r="C21" s="27">
        <f>57501024.22</f>
        <v>57501024.22</v>
      </c>
      <c r="D21" s="27">
        <f>12437354.75</f>
        <v>12437354.75</v>
      </c>
      <c r="E21" s="27">
        <f>1647746.23</f>
        <v>1647746.23</v>
      </c>
      <c r="F21" s="27">
        <f>557149.07</f>
        <v>557149.07</v>
      </c>
      <c r="G21" s="27">
        <f>7302349.82</f>
        <v>7302349.82</v>
      </c>
      <c r="H21" s="27">
        <f>2930109.63</f>
        <v>2930109.63</v>
      </c>
      <c r="I21" s="27">
        <f>0</f>
        <v>0</v>
      </c>
      <c r="J21" s="27">
        <f>245541.8</f>
        <v>245541.8</v>
      </c>
      <c r="K21" s="27">
        <f>8450402.61</f>
        <v>8450402.61</v>
      </c>
      <c r="L21" s="27">
        <f>15949279.03</f>
        <v>15949279.03</v>
      </c>
      <c r="M21" s="27">
        <f>16041077.9</f>
        <v>16041077.9</v>
      </c>
      <c r="N21" s="27">
        <f>4377368.13</f>
        <v>4377368.13</v>
      </c>
      <c r="O21" s="27">
        <f>0</f>
        <v>0</v>
      </c>
      <c r="P21" s="27">
        <f>0</f>
        <v>0</v>
      </c>
      <c r="Q21" s="27">
        <f>0</f>
        <v>0</v>
      </c>
    </row>
    <row r="22" spans="1:17" ht="27" customHeight="1">
      <c r="A22" s="18" t="s">
        <v>53</v>
      </c>
      <c r="B22" s="32">
        <f>28898906.05</f>
        <v>28898906.05</v>
      </c>
      <c r="C22" s="32">
        <f>28898906.05</f>
        <v>28898906.05</v>
      </c>
      <c r="D22" s="32">
        <f>1308396.68</f>
        <v>1308396.68</v>
      </c>
      <c r="E22" s="32">
        <f>206.59</f>
        <v>206.59</v>
      </c>
      <c r="F22" s="32">
        <f>3775.7</f>
        <v>3775.7</v>
      </c>
      <c r="G22" s="32">
        <f>1304414.39</f>
        <v>1304414.39</v>
      </c>
      <c r="H22" s="32">
        <f>0</f>
        <v>0</v>
      </c>
      <c r="I22" s="32">
        <f>0</f>
        <v>0</v>
      </c>
      <c r="J22" s="32">
        <f>40.25</f>
        <v>40.25</v>
      </c>
      <c r="K22" s="32">
        <f>323103.81</f>
        <v>323103.81</v>
      </c>
      <c r="L22" s="32">
        <f>13446922.94</f>
        <v>13446922.94</v>
      </c>
      <c r="M22" s="32">
        <f>9891222.83</f>
        <v>9891222.83</v>
      </c>
      <c r="N22" s="32">
        <f>3929219.54</f>
        <v>3929219.54</v>
      </c>
      <c r="O22" s="32">
        <f>0</f>
        <v>0</v>
      </c>
      <c r="P22" s="32">
        <f>0</f>
        <v>0</v>
      </c>
      <c r="Q22" s="32">
        <f>0</f>
        <v>0</v>
      </c>
    </row>
    <row r="23" spans="1:17" ht="31.5" customHeight="1">
      <c r="A23" s="24" t="s">
        <v>54</v>
      </c>
      <c r="B23" s="32">
        <f>28602118.17</f>
        <v>28602118.17</v>
      </c>
      <c r="C23" s="32">
        <f>28602118.17</f>
        <v>28602118.17</v>
      </c>
      <c r="D23" s="32">
        <f>11128958.07</f>
        <v>11128958.07</v>
      </c>
      <c r="E23" s="32">
        <f>1647539.64</f>
        <v>1647539.64</v>
      </c>
      <c r="F23" s="32">
        <f>553373.37</f>
        <v>553373.37</v>
      </c>
      <c r="G23" s="32">
        <f>5997935.43</f>
        <v>5997935.43</v>
      </c>
      <c r="H23" s="32">
        <f>2930109.63</f>
        <v>2930109.63</v>
      </c>
      <c r="I23" s="32">
        <f>0</f>
        <v>0</v>
      </c>
      <c r="J23" s="32">
        <f>245501.55</f>
        <v>245501.55</v>
      </c>
      <c r="K23" s="32">
        <f>8127298.8</f>
        <v>8127298.8</v>
      </c>
      <c r="L23" s="32">
        <f>2502356.09</f>
        <v>2502356.09</v>
      </c>
      <c r="M23" s="32">
        <f>6149855.07</f>
        <v>6149855.07</v>
      </c>
      <c r="N23" s="32">
        <f>448148.59</f>
        <v>448148.59</v>
      </c>
      <c r="O23" s="32">
        <f>0</f>
        <v>0</v>
      </c>
      <c r="P23" s="32">
        <f>0</f>
        <v>0</v>
      </c>
      <c r="Q23" s="32">
        <f>0</f>
        <v>0</v>
      </c>
    </row>
    <row r="24" spans="1:17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9.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9.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9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3" ht="45.75" customHeight="1">
      <c r="A34" s="50" t="s">
        <v>78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6" spans="1:13" ht="13.5" customHeight="1">
      <c r="A36" s="54" t="s">
        <v>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8" spans="1:17" ht="13.5" customHeight="1">
      <c r="A38" s="39" t="s">
        <v>0</v>
      </c>
      <c r="B38" s="55" t="s">
        <v>9</v>
      </c>
      <c r="C38" s="47" t="s">
        <v>11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1" t="s">
        <v>21</v>
      </c>
      <c r="P38" s="52"/>
      <c r="Q38" s="53"/>
    </row>
    <row r="39" spans="1:17" ht="13.5" customHeight="1">
      <c r="A39" s="40"/>
      <c r="B39" s="42"/>
      <c r="C39" s="42" t="s">
        <v>10</v>
      </c>
      <c r="D39" s="44" t="s">
        <v>12</v>
      </c>
      <c r="E39" s="44" t="s">
        <v>22</v>
      </c>
      <c r="F39" s="44" t="s">
        <v>23</v>
      </c>
      <c r="G39" s="44" t="s">
        <v>72</v>
      </c>
      <c r="H39" s="44" t="s">
        <v>25</v>
      </c>
      <c r="I39" s="44" t="s">
        <v>1</v>
      </c>
      <c r="J39" s="44" t="s">
        <v>13</v>
      </c>
      <c r="K39" s="44" t="s">
        <v>14</v>
      </c>
      <c r="L39" s="44" t="s">
        <v>15</v>
      </c>
      <c r="M39" s="44" t="s">
        <v>16</v>
      </c>
      <c r="N39" s="88" t="s">
        <v>17</v>
      </c>
      <c r="O39" s="46" t="s">
        <v>18</v>
      </c>
      <c r="P39" s="46" t="s">
        <v>19</v>
      </c>
      <c r="Q39" s="97" t="s">
        <v>20</v>
      </c>
    </row>
    <row r="40" spans="1:17" ht="11.25" customHeight="1">
      <c r="A40" s="40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88"/>
      <c r="O40" s="46"/>
      <c r="P40" s="46"/>
      <c r="Q40" s="98"/>
    </row>
    <row r="41" spans="1:17" ht="32.25" customHeight="1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88"/>
      <c r="O41" s="46"/>
      <c r="P41" s="46"/>
      <c r="Q41" s="99"/>
    </row>
    <row r="42" spans="1:17" ht="12.75" customHeight="1">
      <c r="A42" s="11">
        <v>1</v>
      </c>
      <c r="B42" s="11">
        <v>2</v>
      </c>
      <c r="C42" s="11">
        <v>3</v>
      </c>
      <c r="D42" s="11">
        <v>4</v>
      </c>
      <c r="E42" s="11">
        <v>5</v>
      </c>
      <c r="F42" s="11">
        <v>6</v>
      </c>
      <c r="G42" s="11">
        <v>7</v>
      </c>
      <c r="H42" s="11">
        <v>8</v>
      </c>
      <c r="I42" s="11">
        <v>9</v>
      </c>
      <c r="J42" s="11">
        <v>10</v>
      </c>
      <c r="K42" s="11">
        <v>11</v>
      </c>
      <c r="L42" s="11">
        <v>12</v>
      </c>
      <c r="M42" s="11">
        <v>13</v>
      </c>
      <c r="N42" s="11">
        <v>14</v>
      </c>
      <c r="O42" s="11"/>
      <c r="P42" s="11"/>
      <c r="Q42" s="17"/>
    </row>
    <row r="43" spans="1:17" ht="13.5" customHeight="1">
      <c r="A43" s="11"/>
      <c r="B43" s="47" t="s">
        <v>77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11">
        <v>15</v>
      </c>
      <c r="P43" s="11">
        <v>16</v>
      </c>
      <c r="Q43" s="11">
        <v>17</v>
      </c>
    </row>
    <row r="44" spans="1:17" ht="27.75" customHeight="1" hidden="1">
      <c r="A44" s="12" t="s">
        <v>26</v>
      </c>
      <c r="B44" s="13">
        <f>0</f>
        <v>0</v>
      </c>
      <c r="C44" s="13">
        <f>0</f>
        <v>0</v>
      </c>
      <c r="D44" s="13">
        <f>0</f>
        <v>0</v>
      </c>
      <c r="E44" s="13">
        <f>0</f>
        <v>0</v>
      </c>
      <c r="F44" s="13">
        <f>0</f>
        <v>0</v>
      </c>
      <c r="G44" s="13">
        <f>0</f>
        <v>0</v>
      </c>
      <c r="H44" s="13">
        <f>0</f>
        <v>0</v>
      </c>
      <c r="I44" s="13">
        <f>0</f>
        <v>0</v>
      </c>
      <c r="J44" s="13">
        <f>0</f>
        <v>0</v>
      </c>
      <c r="K44" s="13">
        <f>0</f>
        <v>0</v>
      </c>
      <c r="L44" s="13">
        <f>0</f>
        <v>0</v>
      </c>
      <c r="M44" s="13">
        <f>0</f>
        <v>0</v>
      </c>
      <c r="N44" s="13">
        <f>0</f>
        <v>0</v>
      </c>
      <c r="O44" s="13">
        <f>0</f>
        <v>0</v>
      </c>
      <c r="P44" s="13">
        <f>0</f>
        <v>0</v>
      </c>
      <c r="Q44" s="13">
        <f>0</f>
        <v>0</v>
      </c>
    </row>
    <row r="45" spans="1:17" ht="24.75" customHeight="1">
      <c r="A45" s="33" t="s">
        <v>39</v>
      </c>
      <c r="B45" s="34">
        <f>6591253.79</f>
        <v>6591253.79</v>
      </c>
      <c r="C45" s="34">
        <f>6591253.79</f>
        <v>6591253.79</v>
      </c>
      <c r="D45" s="34">
        <f>784957.41</f>
        <v>784957.41</v>
      </c>
      <c r="E45" s="34">
        <f>0</f>
        <v>0</v>
      </c>
      <c r="F45" s="34">
        <f>0</f>
        <v>0</v>
      </c>
      <c r="G45" s="34">
        <f>784957.41</f>
        <v>784957.41</v>
      </c>
      <c r="H45" s="34">
        <f>0</f>
        <v>0</v>
      </c>
      <c r="I45" s="34">
        <f>0</f>
        <v>0</v>
      </c>
      <c r="J45" s="34">
        <f>173174.2</f>
        <v>173174.2</v>
      </c>
      <c r="K45" s="34">
        <f>5025135</f>
        <v>5025135</v>
      </c>
      <c r="L45" s="34">
        <f>176962.58</f>
        <v>176962.58</v>
      </c>
      <c r="M45" s="34">
        <f>384932.6</f>
        <v>384932.6</v>
      </c>
      <c r="N45" s="34">
        <f>46092</f>
        <v>46092</v>
      </c>
      <c r="O45" s="34">
        <f>0</f>
        <v>0</v>
      </c>
      <c r="P45" s="34">
        <f>0</f>
        <v>0</v>
      </c>
      <c r="Q45" s="34">
        <f>0</f>
        <v>0</v>
      </c>
    </row>
    <row r="46" spans="1:17" ht="24.75" customHeight="1">
      <c r="A46" s="22" t="s">
        <v>27</v>
      </c>
      <c r="B46" s="25">
        <f>16888.81</f>
        <v>16888.81</v>
      </c>
      <c r="C46" s="25">
        <f>16888.81</f>
        <v>16888.81</v>
      </c>
      <c r="D46" s="25">
        <f>0</f>
        <v>0</v>
      </c>
      <c r="E46" s="25">
        <f>0</f>
        <v>0</v>
      </c>
      <c r="F46" s="25">
        <f>0</f>
        <v>0</v>
      </c>
      <c r="G46" s="25">
        <f>0</f>
        <v>0</v>
      </c>
      <c r="H46" s="25">
        <f>0</f>
        <v>0</v>
      </c>
      <c r="I46" s="25">
        <f>0</f>
        <v>0</v>
      </c>
      <c r="J46" s="25">
        <f>6000</f>
        <v>6000</v>
      </c>
      <c r="K46" s="25">
        <f>0</f>
        <v>0</v>
      </c>
      <c r="L46" s="25">
        <f>0</f>
        <v>0</v>
      </c>
      <c r="M46" s="25">
        <f>10888.81</f>
        <v>10888.81</v>
      </c>
      <c r="N46" s="25">
        <f>0</f>
        <v>0</v>
      </c>
      <c r="O46" s="14">
        <f>0</f>
        <v>0</v>
      </c>
      <c r="P46" s="14">
        <f>0</f>
        <v>0</v>
      </c>
      <c r="Q46" s="14">
        <f>0</f>
        <v>0</v>
      </c>
    </row>
    <row r="47" spans="1:17" ht="24.75" customHeight="1">
      <c r="A47" s="22" t="s">
        <v>28</v>
      </c>
      <c r="B47" s="25">
        <f>6574364.98</f>
        <v>6574364.98</v>
      </c>
      <c r="C47" s="25">
        <f>6574364.98</f>
        <v>6574364.98</v>
      </c>
      <c r="D47" s="25">
        <f>784957.41</f>
        <v>784957.41</v>
      </c>
      <c r="E47" s="25">
        <f>0</f>
        <v>0</v>
      </c>
      <c r="F47" s="25">
        <f>0</f>
        <v>0</v>
      </c>
      <c r="G47" s="25">
        <f>784957.41</f>
        <v>784957.41</v>
      </c>
      <c r="H47" s="25">
        <f>0</f>
        <v>0</v>
      </c>
      <c r="I47" s="25">
        <f>0</f>
        <v>0</v>
      </c>
      <c r="J47" s="25">
        <f>167174.2</f>
        <v>167174.2</v>
      </c>
      <c r="K47" s="25">
        <f>5025135</f>
        <v>5025135</v>
      </c>
      <c r="L47" s="25">
        <f>176962.58</f>
        <v>176962.58</v>
      </c>
      <c r="M47" s="25">
        <f>374043.79</f>
        <v>374043.79</v>
      </c>
      <c r="N47" s="25">
        <f>46092</f>
        <v>46092</v>
      </c>
      <c r="O47" s="14">
        <f>0</f>
        <v>0</v>
      </c>
      <c r="P47" s="14">
        <f>0</f>
        <v>0</v>
      </c>
      <c r="Q47" s="14">
        <f>0</f>
        <v>0</v>
      </c>
    </row>
    <row r="48" spans="1:17" ht="24.75" customHeight="1">
      <c r="A48" s="23" t="s">
        <v>40</v>
      </c>
      <c r="B48" s="25">
        <f>262109465.5</f>
        <v>262109465.5</v>
      </c>
      <c r="C48" s="25">
        <f>262102688.52</f>
        <v>262102688.52</v>
      </c>
      <c r="D48" s="25">
        <f>10997907.99</f>
        <v>10997907.99</v>
      </c>
      <c r="E48" s="25">
        <f>159900.8</f>
        <v>159900.8</v>
      </c>
      <c r="F48" s="25">
        <f>1967045.5</f>
        <v>1967045.5</v>
      </c>
      <c r="G48" s="25">
        <f>8058598.09</f>
        <v>8058598.09</v>
      </c>
      <c r="H48" s="25">
        <f>812363.6</f>
        <v>812363.6</v>
      </c>
      <c r="I48" s="25">
        <f>0</f>
        <v>0</v>
      </c>
      <c r="J48" s="25">
        <f>4086497.91</f>
        <v>4086497.91</v>
      </c>
      <c r="K48" s="25">
        <f>2053716.34</f>
        <v>2053716.34</v>
      </c>
      <c r="L48" s="25">
        <f>87908013.89</f>
        <v>87908013.89</v>
      </c>
      <c r="M48" s="25">
        <f>132884866.44</f>
        <v>132884866.44</v>
      </c>
      <c r="N48" s="25">
        <f>24171685.95</f>
        <v>24171685.95</v>
      </c>
      <c r="O48" s="14">
        <f>6776.98</f>
        <v>6776.98</v>
      </c>
      <c r="P48" s="14">
        <f>3883.66</f>
        <v>3883.66</v>
      </c>
      <c r="Q48" s="14">
        <f>2893.32</f>
        <v>2893.32</v>
      </c>
    </row>
    <row r="49" spans="1:17" ht="24.75" customHeight="1">
      <c r="A49" s="22" t="s">
        <v>29</v>
      </c>
      <c r="B49" s="25">
        <f>20984499.4</f>
        <v>20984499.4</v>
      </c>
      <c r="C49" s="25">
        <f>20984499.4</f>
        <v>20984499.4</v>
      </c>
      <c r="D49" s="25">
        <f>4677318.96</f>
        <v>4677318.96</v>
      </c>
      <c r="E49" s="25">
        <f>0</f>
        <v>0</v>
      </c>
      <c r="F49" s="25">
        <f>73300</f>
        <v>73300</v>
      </c>
      <c r="G49" s="25">
        <f>4604018.96</f>
        <v>4604018.96</v>
      </c>
      <c r="H49" s="25">
        <f>0</f>
        <v>0</v>
      </c>
      <c r="I49" s="25">
        <f>0</f>
        <v>0</v>
      </c>
      <c r="J49" s="25">
        <f>0</f>
        <v>0</v>
      </c>
      <c r="K49" s="25">
        <f>0</f>
        <v>0</v>
      </c>
      <c r="L49" s="25">
        <f>7487372.47</f>
        <v>7487372.47</v>
      </c>
      <c r="M49" s="25">
        <f>2234530.91</f>
        <v>2234530.91</v>
      </c>
      <c r="N49" s="25">
        <f>6585277.06</f>
        <v>6585277.06</v>
      </c>
      <c r="O49" s="14">
        <f>0</f>
        <v>0</v>
      </c>
      <c r="P49" s="14">
        <f>0</f>
        <v>0</v>
      </c>
      <c r="Q49" s="14">
        <f>0</f>
        <v>0</v>
      </c>
    </row>
    <row r="50" spans="1:17" ht="24.75" customHeight="1">
      <c r="A50" s="22" t="s">
        <v>30</v>
      </c>
      <c r="B50" s="25">
        <f>241124966.1</f>
        <v>241124966.1</v>
      </c>
      <c r="C50" s="25">
        <f>241118189.12</f>
        <v>241118189.12</v>
      </c>
      <c r="D50" s="25">
        <f>6320589.03</f>
        <v>6320589.03</v>
      </c>
      <c r="E50" s="25">
        <f>159900.8</f>
        <v>159900.8</v>
      </c>
      <c r="F50" s="25">
        <f>1893745.5</f>
        <v>1893745.5</v>
      </c>
      <c r="G50" s="25">
        <f>3454579.13</f>
        <v>3454579.13</v>
      </c>
      <c r="H50" s="25">
        <f>812363.6</f>
        <v>812363.6</v>
      </c>
      <c r="I50" s="25">
        <f>0</f>
        <v>0</v>
      </c>
      <c r="J50" s="25">
        <f>4086497.91</f>
        <v>4086497.91</v>
      </c>
      <c r="K50" s="25">
        <f>2053716.34</f>
        <v>2053716.34</v>
      </c>
      <c r="L50" s="25">
        <f>80420641.42</f>
        <v>80420641.42</v>
      </c>
      <c r="M50" s="25">
        <f>130650335.53</f>
        <v>130650335.53</v>
      </c>
      <c r="N50" s="25">
        <f>17586408.89</f>
        <v>17586408.89</v>
      </c>
      <c r="O50" s="14">
        <f>6776.98</f>
        <v>6776.98</v>
      </c>
      <c r="P50" s="14">
        <f>3883.66</f>
        <v>3883.66</v>
      </c>
      <c r="Q50" s="14">
        <f>2893.32</f>
        <v>2893.32</v>
      </c>
    </row>
    <row r="51" spans="1:17" ht="24.75" customHeight="1">
      <c r="A51" s="33" t="s">
        <v>41</v>
      </c>
      <c r="B51" s="34">
        <f>46679695579.27</f>
        <v>46679695579.27</v>
      </c>
      <c r="C51" s="34">
        <f>46679695579.27</f>
        <v>46679695579.27</v>
      </c>
      <c r="D51" s="34">
        <f>16594854.8</f>
        <v>16594854.8</v>
      </c>
      <c r="E51" s="34">
        <f>481061.84</f>
        <v>481061.84</v>
      </c>
      <c r="F51" s="34">
        <f>6951</f>
        <v>6951</v>
      </c>
      <c r="G51" s="34">
        <f>16106841.96</f>
        <v>16106841.96</v>
      </c>
      <c r="H51" s="34">
        <f>0</f>
        <v>0</v>
      </c>
      <c r="I51" s="34">
        <f>0</f>
        <v>0</v>
      </c>
      <c r="J51" s="34">
        <f>46660392852.88</f>
        <v>46660392852.88</v>
      </c>
      <c r="K51" s="34">
        <f>3129.9</f>
        <v>3129.9</v>
      </c>
      <c r="L51" s="34">
        <f>1705308.16</f>
        <v>1705308.16</v>
      </c>
      <c r="M51" s="34">
        <f>907813.47</f>
        <v>907813.47</v>
      </c>
      <c r="N51" s="34">
        <f>91620.06</f>
        <v>91620.06</v>
      </c>
      <c r="O51" s="34">
        <f>0</f>
        <v>0</v>
      </c>
      <c r="P51" s="34">
        <f>0</f>
        <v>0</v>
      </c>
      <c r="Q51" s="34">
        <f>0</f>
        <v>0</v>
      </c>
    </row>
    <row r="52" spans="1:17" ht="24.75" customHeight="1">
      <c r="A52" s="22" t="s">
        <v>31</v>
      </c>
      <c r="B52" s="25">
        <f>16096841.96</f>
        <v>16096841.96</v>
      </c>
      <c r="C52" s="25">
        <f>16096841.96</f>
        <v>16096841.96</v>
      </c>
      <c r="D52" s="25">
        <f>16096841.96</f>
        <v>16096841.96</v>
      </c>
      <c r="E52" s="25">
        <f>0</f>
        <v>0</v>
      </c>
      <c r="F52" s="25">
        <f>0</f>
        <v>0</v>
      </c>
      <c r="G52" s="25">
        <f>16096841.96</f>
        <v>16096841.96</v>
      </c>
      <c r="H52" s="25">
        <f>0</f>
        <v>0</v>
      </c>
      <c r="I52" s="25">
        <f>0</f>
        <v>0</v>
      </c>
      <c r="J52" s="25">
        <f>0</f>
        <v>0</v>
      </c>
      <c r="K52" s="25">
        <f>0</f>
        <v>0</v>
      </c>
      <c r="L52" s="25">
        <f>0</f>
        <v>0</v>
      </c>
      <c r="M52" s="25">
        <f>0</f>
        <v>0</v>
      </c>
      <c r="N52" s="25">
        <f>0</f>
        <v>0</v>
      </c>
      <c r="O52" s="14">
        <f>0</f>
        <v>0</v>
      </c>
      <c r="P52" s="14">
        <f>0</f>
        <v>0</v>
      </c>
      <c r="Q52" s="14">
        <f>0</f>
        <v>0</v>
      </c>
    </row>
    <row r="53" spans="1:17" ht="24.75" customHeight="1">
      <c r="A53" s="22" t="s">
        <v>32</v>
      </c>
      <c r="B53" s="25">
        <f>43155099508.5</f>
        <v>43155099508.5</v>
      </c>
      <c r="C53" s="25">
        <f>43155099508.5</f>
        <v>43155099508.5</v>
      </c>
      <c r="D53" s="25">
        <f>373742.79</f>
        <v>373742.79</v>
      </c>
      <c r="E53" s="25">
        <f>367252.79</f>
        <v>367252.79</v>
      </c>
      <c r="F53" s="25">
        <f>6490</f>
        <v>6490</v>
      </c>
      <c r="G53" s="25">
        <f>0</f>
        <v>0</v>
      </c>
      <c r="H53" s="25">
        <f>0</f>
        <v>0</v>
      </c>
      <c r="I53" s="25">
        <f>0</f>
        <v>0</v>
      </c>
      <c r="J53" s="25">
        <f>43152265131.11</f>
        <v>43152265131.11</v>
      </c>
      <c r="K53" s="25">
        <f>3129.9</f>
        <v>3129.9</v>
      </c>
      <c r="L53" s="25">
        <f>1459371.17</f>
        <v>1459371.17</v>
      </c>
      <c r="M53" s="25">
        <f>906513.47</f>
        <v>906513.47</v>
      </c>
      <c r="N53" s="25">
        <f>91620.06</f>
        <v>91620.06</v>
      </c>
      <c r="O53" s="14">
        <f>0</f>
        <v>0</v>
      </c>
      <c r="P53" s="14">
        <f>0</f>
        <v>0</v>
      </c>
      <c r="Q53" s="14">
        <f>0</f>
        <v>0</v>
      </c>
    </row>
    <row r="54" spans="1:17" ht="24.75" customHeight="1">
      <c r="A54" s="22" t="s">
        <v>33</v>
      </c>
      <c r="B54" s="25">
        <f>3508499228.81</f>
        <v>3508499228.81</v>
      </c>
      <c r="C54" s="25">
        <f>3508499228.81</f>
        <v>3508499228.81</v>
      </c>
      <c r="D54" s="25">
        <f>124270.05</f>
        <v>124270.05</v>
      </c>
      <c r="E54" s="25">
        <f>113809.05</f>
        <v>113809.05</v>
      </c>
      <c r="F54" s="25">
        <f>461</f>
        <v>461</v>
      </c>
      <c r="G54" s="25">
        <f>10000</f>
        <v>10000</v>
      </c>
      <c r="H54" s="25">
        <f>0</f>
        <v>0</v>
      </c>
      <c r="I54" s="25">
        <f>0</f>
        <v>0</v>
      </c>
      <c r="J54" s="25">
        <f>3508127721.77</f>
        <v>3508127721.77</v>
      </c>
      <c r="K54" s="25">
        <f>0</f>
        <v>0</v>
      </c>
      <c r="L54" s="25">
        <f>245936.99</f>
        <v>245936.99</v>
      </c>
      <c r="M54" s="25">
        <f>1300</f>
        <v>1300</v>
      </c>
      <c r="N54" s="25">
        <f>0</f>
        <v>0</v>
      </c>
      <c r="O54" s="14">
        <f>0</f>
        <v>0</v>
      </c>
      <c r="P54" s="14">
        <f>0</f>
        <v>0</v>
      </c>
      <c r="Q54" s="14">
        <f>0</f>
        <v>0</v>
      </c>
    </row>
    <row r="55" spans="1:17" ht="24.75" customHeight="1">
      <c r="A55" s="33" t="s">
        <v>42</v>
      </c>
      <c r="B55" s="34">
        <f>8155615895.83</f>
        <v>8155615895.83</v>
      </c>
      <c r="C55" s="34">
        <f>8140209976.91</f>
        <v>8140209976.91</v>
      </c>
      <c r="D55" s="34">
        <f>101173336.1</f>
        <v>101173336.1</v>
      </c>
      <c r="E55" s="34">
        <f>45107758.62</f>
        <v>45107758.62</v>
      </c>
      <c r="F55" s="34">
        <f>1196665.79</f>
        <v>1196665.79</v>
      </c>
      <c r="G55" s="34">
        <f>54741620.41</f>
        <v>54741620.41</v>
      </c>
      <c r="H55" s="34">
        <f>127291.28</f>
        <v>127291.28</v>
      </c>
      <c r="I55" s="34">
        <f>0</f>
        <v>0</v>
      </c>
      <c r="J55" s="34">
        <f>2151979.97</f>
        <v>2151979.97</v>
      </c>
      <c r="K55" s="34">
        <f>11235654.42</f>
        <v>11235654.42</v>
      </c>
      <c r="L55" s="34">
        <f>1726665399.85</f>
        <v>1726665399.85</v>
      </c>
      <c r="M55" s="34">
        <f>6246553162.55</f>
        <v>6246553162.55</v>
      </c>
      <c r="N55" s="34">
        <f>52430444.02</f>
        <v>52430444.02</v>
      </c>
      <c r="O55" s="34">
        <f>15405918.92</f>
        <v>15405918.92</v>
      </c>
      <c r="P55" s="34">
        <f>10000516.07</f>
        <v>10000516.07</v>
      </c>
      <c r="Q55" s="34">
        <f>5405402.85</f>
        <v>5405402.85</v>
      </c>
    </row>
    <row r="56" spans="1:17" ht="24.75" customHeight="1">
      <c r="A56" s="21" t="s">
        <v>34</v>
      </c>
      <c r="B56" s="25">
        <f>1057762354.29</f>
        <v>1057762354.29</v>
      </c>
      <c r="C56" s="25">
        <f>1057673371.19</f>
        <v>1057673371.19</v>
      </c>
      <c r="D56" s="25">
        <f>5009481.8</f>
        <v>5009481.8</v>
      </c>
      <c r="E56" s="25">
        <f>845989.78</f>
        <v>845989.78</v>
      </c>
      <c r="F56" s="25">
        <f>191826.78</f>
        <v>191826.78</v>
      </c>
      <c r="G56" s="25">
        <f>3910295.55</f>
        <v>3910295.55</v>
      </c>
      <c r="H56" s="25">
        <f>61369.69</f>
        <v>61369.69</v>
      </c>
      <c r="I56" s="25">
        <f>0</f>
        <v>0</v>
      </c>
      <c r="J56" s="25">
        <f>203919.92</f>
        <v>203919.92</v>
      </c>
      <c r="K56" s="25">
        <f>1432968.44</f>
        <v>1432968.44</v>
      </c>
      <c r="L56" s="25">
        <f>139391984.17</f>
        <v>139391984.17</v>
      </c>
      <c r="M56" s="25">
        <f>905846937.22</f>
        <v>905846937.22</v>
      </c>
      <c r="N56" s="25">
        <f>5788079.64</f>
        <v>5788079.64</v>
      </c>
      <c r="O56" s="14">
        <f>88983.1</f>
        <v>88983.1</v>
      </c>
      <c r="P56" s="14">
        <f>88551.84</f>
        <v>88551.84</v>
      </c>
      <c r="Q56" s="14">
        <f>431.26</f>
        <v>431.26</v>
      </c>
    </row>
    <row r="57" spans="1:17" ht="24.75" customHeight="1">
      <c r="A57" s="22" t="s">
        <v>35</v>
      </c>
      <c r="B57" s="25">
        <f>7097853541.54</f>
        <v>7097853541.54</v>
      </c>
      <c r="C57" s="25">
        <f>7082536605.72</f>
        <v>7082536605.72</v>
      </c>
      <c r="D57" s="25">
        <f>96163854.3</f>
        <v>96163854.3</v>
      </c>
      <c r="E57" s="25">
        <f>44261768.84</f>
        <v>44261768.84</v>
      </c>
      <c r="F57" s="25">
        <f>1004839.01</f>
        <v>1004839.01</v>
      </c>
      <c r="G57" s="25">
        <f>50831324.86</f>
        <v>50831324.86</v>
      </c>
      <c r="H57" s="25">
        <f>65921.59</f>
        <v>65921.59</v>
      </c>
      <c r="I57" s="25">
        <f>0</f>
        <v>0</v>
      </c>
      <c r="J57" s="25">
        <f>1948060.05</f>
        <v>1948060.05</v>
      </c>
      <c r="K57" s="25">
        <f>9802685.98</f>
        <v>9802685.98</v>
      </c>
      <c r="L57" s="25">
        <f>1587273415.68</f>
        <v>1587273415.68</v>
      </c>
      <c r="M57" s="25">
        <f>5340706225.33</f>
        <v>5340706225.33</v>
      </c>
      <c r="N57" s="25">
        <f>46642364.38</f>
        <v>46642364.38</v>
      </c>
      <c r="O57" s="14">
        <f>15316935.82</f>
        <v>15316935.82</v>
      </c>
      <c r="P57" s="14">
        <f>9911964.23</f>
        <v>9911964.23</v>
      </c>
      <c r="Q57" s="14">
        <f>5404971.59</f>
        <v>5404971.59</v>
      </c>
    </row>
    <row r="58" spans="1:17" ht="24.75" customHeight="1">
      <c r="A58" s="33" t="s">
        <v>43</v>
      </c>
      <c r="B58" s="34">
        <f>14541320209.53</f>
        <v>14541320209.53</v>
      </c>
      <c r="C58" s="34">
        <f>14538703011.68</f>
        <v>14538703011.68</v>
      </c>
      <c r="D58" s="34">
        <f>1128625186.08</f>
        <v>1128625186.08</v>
      </c>
      <c r="E58" s="34">
        <f>776180644.35</f>
        <v>776180644.35</v>
      </c>
      <c r="F58" s="34">
        <f>57397990.81</f>
        <v>57397990.81</v>
      </c>
      <c r="G58" s="34">
        <f>287671782.75</f>
        <v>287671782.75</v>
      </c>
      <c r="H58" s="34">
        <f>7374768.17</f>
        <v>7374768.17</v>
      </c>
      <c r="I58" s="34">
        <f>43637</f>
        <v>43637</v>
      </c>
      <c r="J58" s="34">
        <f>20304987.35</f>
        <v>20304987.35</v>
      </c>
      <c r="K58" s="34">
        <f>30121452.4</f>
        <v>30121452.4</v>
      </c>
      <c r="L58" s="34">
        <f>7962623111.65</f>
        <v>7962623111.65</v>
      </c>
      <c r="M58" s="34">
        <f>5307829404.01</f>
        <v>5307829404.01</v>
      </c>
      <c r="N58" s="34">
        <f>89155233.19</f>
        <v>89155233.19</v>
      </c>
      <c r="O58" s="34">
        <f>2617197.85</f>
        <v>2617197.85</v>
      </c>
      <c r="P58" s="34">
        <f>2293096.05</f>
        <v>2293096.05</v>
      </c>
      <c r="Q58" s="34">
        <f>324101.8</f>
        <v>324101.8</v>
      </c>
    </row>
    <row r="59" spans="1:17" ht="30" customHeight="1">
      <c r="A59" s="21" t="s">
        <v>36</v>
      </c>
      <c r="B59" s="25">
        <f>652573825.48</f>
        <v>652573825.48</v>
      </c>
      <c r="C59" s="25">
        <f>652509135.36</f>
        <v>652509135.36</v>
      </c>
      <c r="D59" s="25">
        <f>31451572.39</f>
        <v>31451572.39</v>
      </c>
      <c r="E59" s="25">
        <f>3355537.41</f>
        <v>3355537.41</v>
      </c>
      <c r="F59" s="25">
        <f>562301.18</f>
        <v>562301.18</v>
      </c>
      <c r="G59" s="25">
        <f>26889473.65</f>
        <v>26889473.65</v>
      </c>
      <c r="H59" s="25">
        <f>644260.15</f>
        <v>644260.15</v>
      </c>
      <c r="I59" s="25">
        <f>0</f>
        <v>0</v>
      </c>
      <c r="J59" s="25">
        <f>576138.25</f>
        <v>576138.25</v>
      </c>
      <c r="K59" s="25">
        <f>1851114.2</f>
        <v>1851114.2</v>
      </c>
      <c r="L59" s="25">
        <f>242852950.76</f>
        <v>242852950.76</v>
      </c>
      <c r="M59" s="25">
        <f>369904239.08</f>
        <v>369904239.08</v>
      </c>
      <c r="N59" s="25">
        <f>5873120.68</f>
        <v>5873120.68</v>
      </c>
      <c r="O59" s="14">
        <f>64690.12</f>
        <v>64690.12</v>
      </c>
      <c r="P59" s="14">
        <f>52090.12</f>
        <v>52090.12</v>
      </c>
      <c r="Q59" s="14">
        <f>12600</f>
        <v>12600</v>
      </c>
    </row>
    <row r="60" spans="1:17" ht="36">
      <c r="A60" s="21" t="s">
        <v>37</v>
      </c>
      <c r="B60" s="25">
        <f>10152413384.6</f>
        <v>10152413384.6</v>
      </c>
      <c r="C60" s="25">
        <f>10150637931.07</f>
        <v>10150637931.07</v>
      </c>
      <c r="D60" s="25">
        <f>719535442.97</f>
        <v>719535442.97</v>
      </c>
      <c r="E60" s="25">
        <f>553975043.56</f>
        <v>553975043.56</v>
      </c>
      <c r="F60" s="25">
        <f>33530830.2</f>
        <v>33530830.2</v>
      </c>
      <c r="G60" s="25">
        <f>128018093.81</f>
        <v>128018093.81</v>
      </c>
      <c r="H60" s="25">
        <f>4011475.4</f>
        <v>4011475.4</v>
      </c>
      <c r="I60" s="25">
        <f>34637</f>
        <v>34637</v>
      </c>
      <c r="J60" s="25">
        <f>15010229.28</f>
        <v>15010229.28</v>
      </c>
      <c r="K60" s="25">
        <f>20839059.97</f>
        <v>20839059.97</v>
      </c>
      <c r="L60" s="25">
        <f>6173711644.61</f>
        <v>6173711644.61</v>
      </c>
      <c r="M60" s="25">
        <f>3186485866.81</f>
        <v>3186485866.81</v>
      </c>
      <c r="N60" s="25">
        <f>35021050.43</f>
        <v>35021050.43</v>
      </c>
      <c r="O60" s="14">
        <f>1775453.53</f>
        <v>1775453.53</v>
      </c>
      <c r="P60" s="14">
        <f>1471102.86</f>
        <v>1471102.86</v>
      </c>
      <c r="Q60" s="14">
        <f>304350.67</f>
        <v>304350.67</v>
      </c>
    </row>
    <row r="61" spans="1:17" ht="30.75" customHeight="1">
      <c r="A61" s="21" t="s">
        <v>38</v>
      </c>
      <c r="B61" s="25">
        <f>3736332999.45</f>
        <v>3736332999.45</v>
      </c>
      <c r="C61" s="25">
        <f>3735555945.25</f>
        <v>3735555945.25</v>
      </c>
      <c r="D61" s="25">
        <f>377638170.72</f>
        <v>377638170.72</v>
      </c>
      <c r="E61" s="25">
        <f>218850063.38</f>
        <v>218850063.38</v>
      </c>
      <c r="F61" s="25">
        <f>23304859.43</f>
        <v>23304859.43</v>
      </c>
      <c r="G61" s="25">
        <f>132764215.29</f>
        <v>132764215.29</v>
      </c>
      <c r="H61" s="25">
        <f>2719032.62</f>
        <v>2719032.62</v>
      </c>
      <c r="I61" s="25">
        <f>9000</f>
        <v>9000</v>
      </c>
      <c r="J61" s="25">
        <f>4718619.82</f>
        <v>4718619.82</v>
      </c>
      <c r="K61" s="25">
        <f>7431278.23</f>
        <v>7431278.23</v>
      </c>
      <c r="L61" s="25">
        <f>1546058516.28</f>
        <v>1546058516.28</v>
      </c>
      <c r="M61" s="25">
        <f>1751439298.12</f>
        <v>1751439298.12</v>
      </c>
      <c r="N61" s="25">
        <f>48261062.08</f>
        <v>48261062.08</v>
      </c>
      <c r="O61" s="14">
        <f>777054.2</f>
        <v>777054.2</v>
      </c>
      <c r="P61" s="14">
        <f>769903.07</f>
        <v>769903.07</v>
      </c>
      <c r="Q61" s="14">
        <f>7151.13</f>
        <v>7151.13</v>
      </c>
    </row>
    <row r="78" spans="1:13" ht="75" customHeight="1">
      <c r="A78" s="50" t="s">
        <v>78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3.5" customHeight="1">
      <c r="B79" s="54" t="s">
        <v>2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1" spans="2:12" ht="13.5" customHeight="1">
      <c r="B81" s="79" t="s">
        <v>0</v>
      </c>
      <c r="C81" s="80"/>
      <c r="D81" s="80"/>
      <c r="E81" s="81"/>
      <c r="F81" s="89" t="s">
        <v>70</v>
      </c>
      <c r="G81" s="61" t="s">
        <v>76</v>
      </c>
      <c r="H81" s="62"/>
      <c r="I81" s="62"/>
      <c r="J81" s="62"/>
      <c r="K81" s="62"/>
      <c r="L81" s="63"/>
    </row>
    <row r="82" spans="2:12" ht="13.5" customHeight="1">
      <c r="B82" s="82"/>
      <c r="C82" s="83"/>
      <c r="D82" s="83"/>
      <c r="E82" s="84"/>
      <c r="F82" s="90"/>
      <c r="G82" s="92" t="s">
        <v>71</v>
      </c>
      <c r="H82" s="45" t="s">
        <v>68</v>
      </c>
      <c r="I82" s="45" t="s">
        <v>69</v>
      </c>
      <c r="J82" s="45" t="s">
        <v>72</v>
      </c>
      <c r="K82" s="45" t="s">
        <v>73</v>
      </c>
      <c r="L82" s="93" t="s">
        <v>74</v>
      </c>
    </row>
    <row r="83" spans="2:12" ht="13.5" customHeight="1">
      <c r="B83" s="82"/>
      <c r="C83" s="83"/>
      <c r="D83" s="83"/>
      <c r="E83" s="84"/>
      <c r="F83" s="90"/>
      <c r="G83" s="92"/>
      <c r="H83" s="45"/>
      <c r="I83" s="45"/>
      <c r="J83" s="45"/>
      <c r="K83" s="45"/>
      <c r="L83" s="93"/>
    </row>
    <row r="84" spans="2:12" ht="11.25" customHeight="1">
      <c r="B84" s="82"/>
      <c r="C84" s="83"/>
      <c r="D84" s="83"/>
      <c r="E84" s="84"/>
      <c r="F84" s="90"/>
      <c r="G84" s="92"/>
      <c r="H84" s="45"/>
      <c r="I84" s="45"/>
      <c r="J84" s="45"/>
      <c r="K84" s="45"/>
      <c r="L84" s="93"/>
    </row>
    <row r="85" spans="2:12" ht="11.25" customHeight="1">
      <c r="B85" s="85"/>
      <c r="C85" s="86"/>
      <c r="D85" s="86"/>
      <c r="E85" s="87"/>
      <c r="F85" s="91"/>
      <c r="G85" s="92"/>
      <c r="H85" s="45"/>
      <c r="I85" s="45"/>
      <c r="J85" s="45"/>
      <c r="K85" s="45"/>
      <c r="L85" s="93"/>
    </row>
    <row r="86" spans="2:12" ht="11.25" customHeight="1">
      <c r="B86" s="45">
        <v>1</v>
      </c>
      <c r="C86" s="45"/>
      <c r="D86" s="45"/>
      <c r="E86" s="45"/>
      <c r="F86" s="3">
        <v>2</v>
      </c>
      <c r="G86" s="3">
        <v>3</v>
      </c>
      <c r="H86" s="3">
        <v>4</v>
      </c>
      <c r="I86" s="3">
        <v>5</v>
      </c>
      <c r="J86" s="3">
        <v>6</v>
      </c>
      <c r="K86" s="3">
        <v>7</v>
      </c>
      <c r="L86" s="10">
        <v>8</v>
      </c>
    </row>
    <row r="87" spans="2:12" ht="13.5" customHeight="1">
      <c r="B87" s="45"/>
      <c r="C87" s="45"/>
      <c r="D87" s="45"/>
      <c r="E87" s="45"/>
      <c r="F87" s="61" t="s">
        <v>77</v>
      </c>
      <c r="G87" s="37"/>
      <c r="H87" s="37"/>
      <c r="I87" s="37"/>
      <c r="J87" s="37"/>
      <c r="K87" s="37"/>
      <c r="L87" s="38"/>
    </row>
    <row r="88" spans="2:12" ht="33.75" customHeight="1">
      <c r="B88" s="72" t="s">
        <v>55</v>
      </c>
      <c r="C88" s="73"/>
      <c r="D88" s="73"/>
      <c r="E88" s="74"/>
      <c r="F88" s="32">
        <f>1015276908.66</f>
        <v>1015276908.66</v>
      </c>
      <c r="G88" s="32">
        <f>340387172.59</f>
        <v>340387172.59</v>
      </c>
      <c r="H88" s="32">
        <f>39550602.9</f>
        <v>39550602.9</v>
      </c>
      <c r="I88" s="32">
        <f>61207101.09</f>
        <v>61207101.09</v>
      </c>
      <c r="J88" s="32">
        <f>230869073.46</f>
        <v>230869073.46</v>
      </c>
      <c r="K88" s="32">
        <f>8760395.14</f>
        <v>8760395.14</v>
      </c>
      <c r="L88" s="32">
        <f>674889736.07</f>
        <v>674889736.07</v>
      </c>
    </row>
    <row r="89" spans="2:12" ht="33.75" customHeight="1">
      <c r="B89" s="72" t="s">
        <v>56</v>
      </c>
      <c r="C89" s="73"/>
      <c r="D89" s="73"/>
      <c r="E89" s="74"/>
      <c r="F89" s="32">
        <f>2285910.31</f>
        <v>2285910.31</v>
      </c>
      <c r="G89" s="32">
        <f>0</f>
        <v>0</v>
      </c>
      <c r="H89" s="32">
        <f>0</f>
        <v>0</v>
      </c>
      <c r="I89" s="32">
        <f>0</f>
        <v>0</v>
      </c>
      <c r="J89" s="32">
        <f>0</f>
        <v>0</v>
      </c>
      <c r="K89" s="32">
        <f>0</f>
        <v>0</v>
      </c>
      <c r="L89" s="32">
        <f>2285910.31</f>
        <v>2285910.31</v>
      </c>
    </row>
    <row r="90" spans="2:12" ht="33.75" customHeight="1">
      <c r="B90" s="72" t="s">
        <v>57</v>
      </c>
      <c r="C90" s="73"/>
      <c r="D90" s="73"/>
      <c r="E90" s="74"/>
      <c r="F90" s="32">
        <f>61307842.95</f>
        <v>61307842.95</v>
      </c>
      <c r="G90" s="32">
        <f>53855971.73</f>
        <v>53855971.73</v>
      </c>
      <c r="H90" s="32">
        <f>0</f>
        <v>0</v>
      </c>
      <c r="I90" s="32">
        <f>50547564.58</f>
        <v>50547564.58</v>
      </c>
      <c r="J90" s="32">
        <f>3308407.15</f>
        <v>3308407.15</v>
      </c>
      <c r="K90" s="32">
        <f>0</f>
        <v>0</v>
      </c>
      <c r="L90" s="32">
        <f>7451871.22</f>
        <v>7451871.22</v>
      </c>
    </row>
    <row r="91" spans="2:12" ht="22.5" customHeight="1">
      <c r="B91" s="72" t="s">
        <v>58</v>
      </c>
      <c r="C91" s="73"/>
      <c r="D91" s="73"/>
      <c r="E91" s="74"/>
      <c r="F91" s="32">
        <f>15735747.79</f>
        <v>15735747.79</v>
      </c>
      <c r="G91" s="32">
        <f>972170</f>
        <v>972170</v>
      </c>
      <c r="H91" s="32">
        <f>0</f>
        <v>0</v>
      </c>
      <c r="I91" s="32">
        <f>0</f>
        <v>0</v>
      </c>
      <c r="J91" s="32">
        <f>972170</f>
        <v>972170</v>
      </c>
      <c r="K91" s="32">
        <f>0</f>
        <v>0</v>
      </c>
      <c r="L91" s="32">
        <f>14763577.79</f>
        <v>14763577.79</v>
      </c>
    </row>
    <row r="92" spans="2:12" ht="33.75" customHeight="1">
      <c r="B92" s="72" t="s">
        <v>59</v>
      </c>
      <c r="C92" s="73"/>
      <c r="D92" s="73"/>
      <c r="E92" s="74"/>
      <c r="F92" s="32">
        <f>145206.22</f>
        <v>145206.22</v>
      </c>
      <c r="G92" s="32">
        <f>128661.5</f>
        <v>128661.5</v>
      </c>
      <c r="H92" s="32">
        <f>0</f>
        <v>0</v>
      </c>
      <c r="I92" s="32">
        <f>0</f>
        <v>0</v>
      </c>
      <c r="J92" s="32">
        <f>128661.5</f>
        <v>128661.5</v>
      </c>
      <c r="K92" s="32">
        <f>0</f>
        <v>0</v>
      </c>
      <c r="L92" s="32">
        <f>16544.72</f>
        <v>16544.72</v>
      </c>
    </row>
    <row r="93" spans="2:12" ht="33.75" customHeight="1">
      <c r="B93" s="72" t="s">
        <v>60</v>
      </c>
      <c r="C93" s="73"/>
      <c r="D93" s="73"/>
      <c r="E93" s="74"/>
      <c r="F93" s="32">
        <f>610732.58</f>
        <v>610732.58</v>
      </c>
      <c r="G93" s="32">
        <f>48000</f>
        <v>48000</v>
      </c>
      <c r="H93" s="32">
        <f>0</f>
        <v>0</v>
      </c>
      <c r="I93" s="32">
        <f>0</f>
        <v>0</v>
      </c>
      <c r="J93" s="32">
        <f>48000</f>
        <v>48000</v>
      </c>
      <c r="K93" s="32">
        <f>0</f>
        <v>0</v>
      </c>
      <c r="L93" s="32">
        <f>562732.58</f>
        <v>562732.58</v>
      </c>
    </row>
    <row r="94" spans="2:12" ht="22.5" customHeight="1">
      <c r="B94" s="72" t="s">
        <v>61</v>
      </c>
      <c r="C94" s="73"/>
      <c r="D94" s="73"/>
      <c r="E94" s="74"/>
      <c r="F94" s="32">
        <f>19000</f>
        <v>19000</v>
      </c>
      <c r="G94" s="32">
        <f>0</f>
        <v>0</v>
      </c>
      <c r="H94" s="32">
        <f>0</f>
        <v>0</v>
      </c>
      <c r="I94" s="32">
        <f>0</f>
        <v>0</v>
      </c>
      <c r="J94" s="32">
        <f>0</f>
        <v>0</v>
      </c>
      <c r="K94" s="32">
        <f>0</f>
        <v>0</v>
      </c>
      <c r="L94" s="32">
        <f>19000</f>
        <v>19000</v>
      </c>
    </row>
    <row r="97" spans="1:13" ht="75" customHeight="1">
      <c r="A97" s="50" t="s">
        <v>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ht="13.5" customHeight="1">
      <c r="B98" s="4"/>
    </row>
    <row r="99" spans="2:11" ht="13.5" customHeight="1">
      <c r="B99" s="5"/>
      <c r="C99" s="61"/>
      <c r="D99" s="62"/>
      <c r="E99" s="62"/>
      <c r="F99" s="63"/>
      <c r="G99" s="61" t="s">
        <v>3</v>
      </c>
      <c r="H99" s="63"/>
      <c r="I99" s="61" t="s">
        <v>4</v>
      </c>
      <c r="J99" s="63"/>
      <c r="K99" s="5"/>
    </row>
    <row r="100" spans="2:11" ht="13.5" customHeight="1">
      <c r="B100" s="6"/>
      <c r="C100" s="69" t="s">
        <v>5</v>
      </c>
      <c r="D100" s="70"/>
      <c r="E100" s="70"/>
      <c r="F100" s="71"/>
      <c r="G100" s="65">
        <f>2305</f>
        <v>2305</v>
      </c>
      <c r="H100" s="66"/>
      <c r="I100" s="67">
        <f>5355746319.08</f>
        <v>5355746319.08</v>
      </c>
      <c r="J100" s="68"/>
      <c r="K100" s="7"/>
    </row>
    <row r="101" spans="2:11" ht="13.5" customHeight="1">
      <c r="B101" s="6"/>
      <c r="C101" s="72" t="s">
        <v>6</v>
      </c>
      <c r="D101" s="73"/>
      <c r="E101" s="73"/>
      <c r="F101" s="74"/>
      <c r="G101" s="75">
        <f>107</f>
        <v>107</v>
      </c>
      <c r="H101" s="76"/>
      <c r="I101" s="77">
        <f>-93986985.93</f>
        <v>-93986985.93</v>
      </c>
      <c r="J101" s="78"/>
      <c r="K101" s="7"/>
    </row>
    <row r="102" spans="2:11" ht="13.5" customHeight="1">
      <c r="B102" s="6"/>
      <c r="C102" s="69" t="s">
        <v>7</v>
      </c>
      <c r="D102" s="70"/>
      <c r="E102" s="70"/>
      <c r="F102" s="71"/>
      <c r="G102" s="65">
        <f>0</f>
        <v>0</v>
      </c>
      <c r="H102" s="66"/>
      <c r="I102" s="67">
        <f>0</f>
        <v>0</v>
      </c>
      <c r="J102" s="68"/>
      <c r="K102" s="7"/>
    </row>
  </sheetData>
  <sheetProtection/>
  <mergeCells count="79">
    <mergeCell ref="B43:N43"/>
    <mergeCell ref="B86:E86"/>
    <mergeCell ref="F87:L87"/>
    <mergeCell ref="L82:L85"/>
    <mergeCell ref="O6:Q6"/>
    <mergeCell ref="O7:O10"/>
    <mergeCell ref="A78:M78"/>
    <mergeCell ref="L39:L41"/>
    <mergeCell ref="P39:P41"/>
    <mergeCell ref="Q39:Q41"/>
    <mergeCell ref="N39:N41"/>
    <mergeCell ref="O39:O41"/>
    <mergeCell ref="D39:D41"/>
    <mergeCell ref="H7:H10"/>
    <mergeCell ref="B93:E93"/>
    <mergeCell ref="B89:E89"/>
    <mergeCell ref="M39:M41"/>
    <mergeCell ref="B88:E88"/>
    <mergeCell ref="F81:F85"/>
    <mergeCell ref="G82:G85"/>
    <mergeCell ref="I100:J100"/>
    <mergeCell ref="B79:M79"/>
    <mergeCell ref="I99:J99"/>
    <mergeCell ref="B87:E87"/>
    <mergeCell ref="B81:E85"/>
    <mergeCell ref="B94:E94"/>
    <mergeCell ref="A97:M97"/>
    <mergeCell ref="B90:E90"/>
    <mergeCell ref="B91:E91"/>
    <mergeCell ref="B92:E92"/>
    <mergeCell ref="G102:H102"/>
    <mergeCell ref="I102:J102"/>
    <mergeCell ref="C99:F99"/>
    <mergeCell ref="C100:F100"/>
    <mergeCell ref="C101:F101"/>
    <mergeCell ref="C102:F102"/>
    <mergeCell ref="G100:H100"/>
    <mergeCell ref="G99:H99"/>
    <mergeCell ref="G101:H101"/>
    <mergeCell ref="I101:J101"/>
    <mergeCell ref="G81:L81"/>
    <mergeCell ref="H82:H85"/>
    <mergeCell ref="I82:I85"/>
    <mergeCell ref="J82:J85"/>
    <mergeCell ref="A1:M1"/>
    <mergeCell ref="C5:M5"/>
    <mergeCell ref="A3:M3"/>
    <mergeCell ref="K7:K10"/>
    <mergeCell ref="C7:C10"/>
    <mergeCell ref="B38:B41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J39:J41"/>
    <mergeCell ref="Q7:Q10"/>
    <mergeCell ref="C38:N38"/>
    <mergeCell ref="L7:L10"/>
    <mergeCell ref="M7:M10"/>
    <mergeCell ref="N7:N10"/>
    <mergeCell ref="P7:P10"/>
    <mergeCell ref="A34:M34"/>
    <mergeCell ref="O38:Q38"/>
    <mergeCell ref="A36:M36"/>
    <mergeCell ref="B12:Q12"/>
    <mergeCell ref="A38:A41"/>
    <mergeCell ref="C39:C41"/>
    <mergeCell ref="E39:E41"/>
    <mergeCell ref="K82:K85"/>
    <mergeCell ref="F39:F41"/>
    <mergeCell ref="G39:G41"/>
    <mergeCell ref="H39:H41"/>
    <mergeCell ref="K39:K41"/>
    <mergeCell ref="I39:I41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3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Lipiński Jacek</cp:lastModifiedBy>
  <cp:lastPrinted>2016-08-26T11:23:29Z</cp:lastPrinted>
  <dcterms:created xsi:type="dcterms:W3CDTF">2001-05-17T08:58:03Z</dcterms:created>
  <dcterms:modified xsi:type="dcterms:W3CDTF">2018-05-25T09:08:14Z</dcterms:modified>
  <cp:category/>
  <cp:version/>
  <cp:contentType/>
  <cp:contentStatus/>
</cp:coreProperties>
</file>