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1974FBCC-7404-4139-A552-A47A176BA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K97" i="4" s="1"/>
  <c r="D96" i="4"/>
  <c r="C96" i="4"/>
  <c r="K96" i="4" s="1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K87" i="4" s="1"/>
  <c r="D86" i="4"/>
  <c r="J86" i="4" s="1"/>
  <c r="C86" i="4"/>
  <c r="I79" i="4"/>
  <c r="H79" i="4"/>
  <c r="G79" i="4"/>
  <c r="F79" i="4"/>
  <c r="E79" i="4"/>
  <c r="D79" i="4"/>
  <c r="J79" i="4" s="1"/>
  <c r="C79" i="4"/>
  <c r="I78" i="4"/>
  <c r="H78" i="4"/>
  <c r="G78" i="4"/>
  <c r="F78" i="4"/>
  <c r="E78" i="4"/>
  <c r="D78" i="4"/>
  <c r="C78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J71" i="4" s="1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K68" i="4" s="1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54" i="4"/>
  <c r="H54" i="4"/>
  <c r="G54" i="4"/>
  <c r="F54" i="4"/>
  <c r="E54" i="4"/>
  <c r="D54" i="4"/>
  <c r="C54" i="4"/>
  <c r="D51" i="4"/>
  <c r="C51" i="4"/>
  <c r="D50" i="4"/>
  <c r="C50" i="4"/>
  <c r="D49" i="4"/>
  <c r="C49" i="4"/>
  <c r="D48" i="4"/>
  <c r="C48" i="4"/>
  <c r="D47" i="4"/>
  <c r="C47" i="4"/>
  <c r="C46" i="4" s="1"/>
  <c r="D45" i="4"/>
  <c r="C45" i="4"/>
  <c r="D44" i="4"/>
  <c r="C44" i="4"/>
  <c r="D43" i="4"/>
  <c r="C43" i="4"/>
  <c r="D42" i="4"/>
  <c r="C42" i="4"/>
  <c r="D41" i="4"/>
  <c r="C41" i="4"/>
  <c r="K41" i="4" s="1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G7" i="4" s="1"/>
  <c r="F6" i="4"/>
  <c r="E6" i="4"/>
  <c r="E7" i="4" s="1"/>
  <c r="D6" i="4"/>
  <c r="J25" i="4" s="1"/>
  <c r="C6" i="4"/>
  <c r="C53" i="4" s="1"/>
  <c r="D117" i="4"/>
  <c r="K8" i="4"/>
  <c r="G67" i="4"/>
  <c r="G73" i="4"/>
  <c r="K69" i="4"/>
  <c r="D80" i="4"/>
  <c r="J80" i="4" s="1"/>
  <c r="K20" i="4"/>
  <c r="D23" i="4"/>
  <c r="K23" i="4" s="1"/>
  <c r="K89" i="4"/>
  <c r="K101" i="4"/>
  <c r="K15" i="4"/>
  <c r="K27" i="4"/>
  <c r="K33" i="4"/>
  <c r="K39" i="4"/>
  <c r="K45" i="4"/>
  <c r="K54" i="4"/>
  <c r="H67" i="4"/>
  <c r="H73" i="4"/>
  <c r="E80" i="4"/>
  <c r="I67" i="4"/>
  <c r="I73" i="4" s="1"/>
  <c r="F80" i="4"/>
  <c r="K90" i="4"/>
  <c r="K102" i="4"/>
  <c r="K28" i="4"/>
  <c r="K12" i="4"/>
  <c r="C74" i="4"/>
  <c r="K29" i="4"/>
  <c r="J100" i="4"/>
  <c r="J102" i="4"/>
  <c r="J101" i="4"/>
  <c r="J28" i="4"/>
  <c r="K14" i="4"/>
  <c r="K98" i="4"/>
  <c r="K42" i="4"/>
  <c r="F7" i="4"/>
  <c r="K16" i="4"/>
  <c r="K64" i="4"/>
  <c r="K93" i="4"/>
  <c r="K99" i="4"/>
  <c r="K17" i="4"/>
  <c r="K40" i="4"/>
  <c r="C67" i="4"/>
  <c r="C73" i="4" s="1"/>
  <c r="G80" i="4"/>
  <c r="K91" i="4"/>
  <c r="J78" i="4"/>
  <c r="K92" i="4"/>
  <c r="K24" i="4"/>
  <c r="K36" i="4"/>
  <c r="J96" i="4"/>
  <c r="J91" i="4"/>
  <c r="J92" i="4"/>
  <c r="J87" i="4"/>
  <c r="J88" i="4"/>
  <c r="J89" i="4"/>
  <c r="J90" i="4"/>
  <c r="G53" i="4"/>
  <c r="G55" i="4" s="1"/>
  <c r="K11" i="4"/>
  <c r="K25" i="4"/>
  <c r="K37" i="4"/>
  <c r="K50" i="4"/>
  <c r="H80" i="4"/>
  <c r="H7" i="4"/>
  <c r="H21" i="4"/>
  <c r="K18" i="4"/>
  <c r="E67" i="4"/>
  <c r="E73" i="4"/>
  <c r="K66" i="4"/>
  <c r="K88" i="4"/>
  <c r="K100" i="4"/>
  <c r="K71" i="4"/>
  <c r="K34" i="4"/>
  <c r="K47" i="4"/>
  <c r="K78" i="4"/>
  <c r="K19" i="4"/>
  <c r="K35" i="4"/>
  <c r="K48" i="4"/>
  <c r="K9" i="4"/>
  <c r="K30" i="4"/>
  <c r="K49" i="4"/>
  <c r="K70" i="4"/>
  <c r="K31" i="4"/>
  <c r="K43" i="4"/>
  <c r="J65" i="4"/>
  <c r="J72" i="4"/>
  <c r="J69" i="4"/>
  <c r="J66" i="4"/>
  <c r="J64" i="4"/>
  <c r="J70" i="4"/>
  <c r="D67" i="4"/>
  <c r="J67" i="4" s="1"/>
  <c r="D73" i="4"/>
  <c r="J73" i="4" s="1"/>
  <c r="J68" i="4"/>
  <c r="K72" i="4"/>
  <c r="I7" i="4"/>
  <c r="I21" i="4" s="1"/>
  <c r="K13" i="4"/>
  <c r="K26" i="4"/>
  <c r="K32" i="4"/>
  <c r="K38" i="4"/>
  <c r="K44" i="4"/>
  <c r="K51" i="4"/>
  <c r="F21" i="4"/>
  <c r="F53" i="4"/>
  <c r="F55" i="4"/>
  <c r="K65" i="4"/>
  <c r="D46" i="4"/>
  <c r="J46" i="4" s="1"/>
  <c r="I80" i="4"/>
  <c r="J93" i="4"/>
  <c r="J98" i="4"/>
  <c r="F67" i="4"/>
  <c r="F73" i="4"/>
  <c r="J99" i="4"/>
  <c r="C80" i="4"/>
  <c r="C23" i="4"/>
  <c r="C22" i="4" s="1"/>
  <c r="J97" i="4"/>
  <c r="J13" i="4"/>
  <c r="I53" i="4"/>
  <c r="I55" i="4"/>
  <c r="H53" i="4"/>
  <c r="H55" i="4"/>
  <c r="B57" i="4"/>
  <c r="B81" i="4"/>
  <c r="B1" i="4" l="1"/>
  <c r="K86" i="4"/>
  <c r="K79" i="4"/>
  <c r="K80" i="4"/>
  <c r="K67" i="4"/>
  <c r="K73" i="4"/>
  <c r="K46" i="4"/>
  <c r="D22" i="4"/>
  <c r="D7" i="4" s="1"/>
  <c r="L14" i="4" s="1"/>
  <c r="K10" i="4"/>
  <c r="G21" i="4"/>
  <c r="E21" i="4"/>
  <c r="E53" i="4"/>
  <c r="E55" i="4" s="1"/>
  <c r="J15" i="4"/>
  <c r="J43" i="4"/>
  <c r="J40" i="4"/>
  <c r="J8" i="4"/>
  <c r="J11" i="4"/>
  <c r="J41" i="4"/>
  <c r="J36" i="4"/>
  <c r="J26" i="4"/>
  <c r="J24" i="4"/>
  <c r="J17" i="4"/>
  <c r="J27" i="4"/>
  <c r="J33" i="4"/>
  <c r="J6" i="4"/>
  <c r="J49" i="4"/>
  <c r="J16" i="4"/>
  <c r="J50" i="4"/>
  <c r="J34" i="4"/>
  <c r="J10" i="4"/>
  <c r="J32" i="4"/>
  <c r="J35" i="4"/>
  <c r="J38" i="4"/>
  <c r="D53" i="4"/>
  <c r="D55" i="4" s="1"/>
  <c r="D75" i="4" s="1"/>
  <c r="J18" i="4"/>
  <c r="J45" i="4"/>
  <c r="J30" i="4"/>
  <c r="J39" i="4"/>
  <c r="J47" i="4"/>
  <c r="J51" i="4"/>
  <c r="J19" i="4"/>
  <c r="J54" i="4"/>
  <c r="J29" i="4"/>
  <c r="K6" i="4"/>
  <c r="J31" i="4"/>
  <c r="J23" i="4"/>
  <c r="D74" i="4"/>
  <c r="J12" i="4"/>
  <c r="J20" i="4"/>
  <c r="J9" i="4"/>
  <c r="J37" i="4"/>
  <c r="J48" i="4"/>
  <c r="J14" i="4"/>
  <c r="J42" i="4"/>
  <c r="J44" i="4"/>
  <c r="C55" i="4"/>
  <c r="C7" i="4"/>
  <c r="J55" i="4" l="1"/>
  <c r="L18" i="4"/>
  <c r="L13" i="4"/>
  <c r="L10" i="4"/>
  <c r="L12" i="4"/>
  <c r="L9" i="4"/>
  <c r="L7" i="4"/>
  <c r="L20" i="4"/>
  <c r="L8" i="4"/>
  <c r="L19" i="4"/>
  <c r="D21" i="4"/>
  <c r="J21" i="4" s="1"/>
  <c r="J7" i="4"/>
  <c r="J22" i="4"/>
  <c r="L15" i="4"/>
  <c r="K22" i="4"/>
  <c r="L17" i="4"/>
  <c r="L11" i="4"/>
  <c r="L16" i="4"/>
  <c r="J53" i="4"/>
  <c r="K53" i="4"/>
  <c r="C21" i="4"/>
  <c r="K7" i="4"/>
  <c r="K55" i="4"/>
  <c r="C75" i="4"/>
  <c r="K21" i="4" l="1"/>
  <c r="L21" i="4"/>
</calcChain>
</file>

<file path=xl/sharedStrings.xml><?xml version="1.0" encoding="utf-8"?>
<sst xmlns="http://schemas.openxmlformats.org/spreadsheetml/2006/main" count="370" uniqueCount="115">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</sst>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0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",$D$117," ",$C$118," rok     ",$C$120,"")</f>
        <v xml:space="preserve">Informacja z wykonania budżetów gmin za IV Kwartały 2023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25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25"/>
      <c r="C4" s="122" t="s">
        <v>74</v>
      </c>
      <c r="D4" s="123"/>
      <c r="E4" s="123"/>
      <c r="F4" s="123"/>
      <c r="G4" s="123"/>
      <c r="H4" s="123"/>
      <c r="I4" s="124"/>
      <c r="J4" s="127" t="s">
        <v>4</v>
      </c>
      <c r="K4" s="127"/>
      <c r="L4" s="127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177345405486.74</f>
        <v>177345405486.73999</v>
      </c>
      <c r="D6" s="45">
        <f>170256688386.98</f>
        <v>170256688386.98001</v>
      </c>
      <c r="E6" s="45">
        <f>4022498656.7</f>
        <v>4022498656.6999998</v>
      </c>
      <c r="F6" s="45">
        <f>675857369.76</f>
        <v>675857369.75999999</v>
      </c>
      <c r="G6" s="45">
        <f>111819455.76</f>
        <v>111819455.76000001</v>
      </c>
      <c r="H6" s="45">
        <f>102764274.98</f>
        <v>102764274.98</v>
      </c>
      <c r="I6" s="45">
        <f>2031327.46</f>
        <v>2031327.46</v>
      </c>
      <c r="J6" s="46">
        <f t="shared" ref="J6:J55" si="0">IF($D$6=0,"",100*$D6/$D$6)</f>
        <v>100</v>
      </c>
      <c r="K6" s="46">
        <f t="shared" ref="K6:K51" si="1">IF(C6=0,"",100*D6/C6)</f>
        <v>96.002875247709767</v>
      </c>
      <c r="L6" s="46"/>
    </row>
    <row r="7" spans="2:13" ht="25.5" customHeight="1" x14ac:dyDescent="0.2">
      <c r="B7" s="85" t="s">
        <v>58</v>
      </c>
      <c r="C7" s="25">
        <f>C6-C22-C46</f>
        <v>80018403601.149994</v>
      </c>
      <c r="D7" s="25">
        <f>D6-D22-D46</f>
        <v>78200395617.160019</v>
      </c>
      <c r="E7" s="25">
        <f>E6</f>
        <v>4022498656.6999998</v>
      </c>
      <c r="F7" s="25">
        <f>F6</f>
        <v>675857369.75999999</v>
      </c>
      <c r="G7" s="25">
        <f>G6</f>
        <v>111819455.76000001</v>
      </c>
      <c r="H7" s="25">
        <f>H6</f>
        <v>102764274.98</v>
      </c>
      <c r="I7" s="25">
        <f>I6</f>
        <v>2031327.46</v>
      </c>
      <c r="J7" s="34">
        <f t="shared" si="0"/>
        <v>45.930880224462427</v>
      </c>
      <c r="K7" s="34">
        <f t="shared" si="1"/>
        <v>97.728012679368362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2277515001</f>
        <v>2277515001</v>
      </c>
      <c r="D8" s="24">
        <f>2277245749</f>
        <v>2277245749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1.337536733842726</v>
      </c>
      <c r="K8" s="35">
        <f t="shared" si="1"/>
        <v>99.988177816616712</v>
      </c>
      <c r="L8" s="35">
        <f t="shared" si="2"/>
        <v>2.9120642306575353</v>
      </c>
    </row>
    <row r="9" spans="2:13" ht="22.5" customHeight="1" outlineLevel="1" x14ac:dyDescent="0.2">
      <c r="B9" s="54" t="s">
        <v>19</v>
      </c>
      <c r="C9" s="24">
        <f>21657846196.49</f>
        <v>21657846196.490002</v>
      </c>
      <c r="D9" s="24">
        <f>21655562362</f>
        <v>21655562362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12.719360729476081</v>
      </c>
      <c r="K9" s="35">
        <f t="shared" si="1"/>
        <v>99.989454932548313</v>
      </c>
      <c r="L9" s="35">
        <f t="shared" si="2"/>
        <v>27.692394892754198</v>
      </c>
    </row>
    <row r="10" spans="2:13" ht="13.5" customHeight="1" outlineLevel="1" x14ac:dyDescent="0.2">
      <c r="B10" s="54" t="s">
        <v>20</v>
      </c>
      <c r="C10" s="24">
        <f>1991405829.95</f>
        <v>1991405829.95</v>
      </c>
      <c r="D10" s="24">
        <f>1934365028.24</f>
        <v>1934365028.24</v>
      </c>
      <c r="E10" s="24">
        <f>242631581.18</f>
        <v>242631581.18000001</v>
      </c>
      <c r="F10" s="24">
        <f>2825583.89</f>
        <v>2825583.89</v>
      </c>
      <c r="G10" s="24">
        <f>2133843.91</f>
        <v>2133843.91</v>
      </c>
      <c r="H10" s="24">
        <f>981825.17</f>
        <v>981825.17</v>
      </c>
      <c r="I10" s="24">
        <f>3756.38</f>
        <v>3756.38</v>
      </c>
      <c r="J10" s="35">
        <f t="shared" si="0"/>
        <v>1.1361462780500822</v>
      </c>
      <c r="K10" s="35">
        <f t="shared" si="1"/>
        <v>97.135651565736737</v>
      </c>
      <c r="L10" s="35">
        <f t="shared" si="2"/>
        <v>2.4736000540328851</v>
      </c>
    </row>
    <row r="11" spans="2:13" ht="13.5" customHeight="1" outlineLevel="1" x14ac:dyDescent="0.2">
      <c r="B11" s="54" t="s">
        <v>21</v>
      </c>
      <c r="C11" s="24">
        <f>19611475875.05</f>
        <v>19611475875.049999</v>
      </c>
      <c r="D11" s="53">
        <f>19443657340</f>
        <v>19443657340</v>
      </c>
      <c r="E11" s="24">
        <f>2589646228.37</f>
        <v>2589646228.3699999</v>
      </c>
      <c r="F11" s="24">
        <f>670187369.23</f>
        <v>670187369.23000002</v>
      </c>
      <c r="G11" s="24">
        <f>85585861.51</f>
        <v>85585861.510000005</v>
      </c>
      <c r="H11" s="24">
        <f>75419958.5</f>
        <v>75419958.5</v>
      </c>
      <c r="I11" s="24">
        <f>1197092.97</f>
        <v>1197092.97</v>
      </c>
      <c r="J11" s="35">
        <f t="shared" si="0"/>
        <v>11.420201769581059</v>
      </c>
      <c r="K11" s="35">
        <f t="shared" si="1"/>
        <v>99.144284009427864</v>
      </c>
      <c r="L11" s="35">
        <f t="shared" si="2"/>
        <v>24.863886156265625</v>
      </c>
    </row>
    <row r="12" spans="2:13" ht="13.5" customHeight="1" outlineLevel="1" x14ac:dyDescent="0.2">
      <c r="B12" s="54" t="s">
        <v>22</v>
      </c>
      <c r="C12" s="24">
        <f>474461415.71</f>
        <v>474461415.70999998</v>
      </c>
      <c r="D12" s="53">
        <f>490863646.71</f>
        <v>490863646.70999998</v>
      </c>
      <c r="E12" s="24">
        <f>4580036.21</f>
        <v>4580036.21</v>
      </c>
      <c r="F12" s="24">
        <f>846184.67</f>
        <v>846184.67</v>
      </c>
      <c r="G12" s="24">
        <f>127846.41</f>
        <v>127846.41</v>
      </c>
      <c r="H12" s="24">
        <f>9428.56</f>
        <v>9428.56</v>
      </c>
      <c r="I12" s="24">
        <f>0</f>
        <v>0</v>
      </c>
      <c r="J12" s="35">
        <f t="shared" si="0"/>
        <v>0.28830799621469538</v>
      </c>
      <c r="K12" s="35">
        <f t="shared" si="1"/>
        <v>103.45702104679158</v>
      </c>
      <c r="L12" s="35">
        <f t="shared" si="2"/>
        <v>0.62769969747095067</v>
      </c>
    </row>
    <row r="13" spans="2:13" ht="13.5" customHeight="1" outlineLevel="1" x14ac:dyDescent="0.2">
      <c r="B13" s="54" t="s">
        <v>23</v>
      </c>
      <c r="C13" s="24">
        <f>1060456528.71</f>
        <v>1060456528.71</v>
      </c>
      <c r="D13" s="53">
        <f>1030640087.61</f>
        <v>1030640087.61</v>
      </c>
      <c r="E13" s="24">
        <f>1161391945.2</f>
        <v>1161391945.2</v>
      </c>
      <c r="F13" s="24">
        <f>1998231.97</f>
        <v>1998231.97</v>
      </c>
      <c r="G13" s="24">
        <f>2540697.84</f>
        <v>2540697.84</v>
      </c>
      <c r="H13" s="24">
        <f>2482448.09</f>
        <v>2482448.09</v>
      </c>
      <c r="I13" s="24">
        <f>113967.59</f>
        <v>113967.59</v>
      </c>
      <c r="J13" s="35">
        <f t="shared" si="0"/>
        <v>0.60534484569994484</v>
      </c>
      <c r="K13" s="35">
        <f t="shared" si="1"/>
        <v>97.188339145191506</v>
      </c>
      <c r="L13" s="35">
        <f t="shared" si="2"/>
        <v>1.3179474086750527</v>
      </c>
    </row>
    <row r="14" spans="2:13" ht="33.950000000000003" customHeight="1" outlineLevel="1" x14ac:dyDescent="0.2">
      <c r="B14" s="54" t="s">
        <v>43</v>
      </c>
      <c r="C14" s="24">
        <f>92016518.02</f>
        <v>92016518.019999996</v>
      </c>
      <c r="D14" s="53">
        <f>94760797.78</f>
        <v>94760797.780000001</v>
      </c>
      <c r="E14" s="24">
        <f>0</f>
        <v>0</v>
      </c>
      <c r="F14" s="24">
        <f>0</f>
        <v>0</v>
      </c>
      <c r="G14" s="24">
        <f>20682.17</f>
        <v>20682.169999999998</v>
      </c>
      <c r="H14" s="24">
        <f>122796.45</f>
        <v>122796.45</v>
      </c>
      <c r="I14" s="24">
        <f>0</f>
        <v>0</v>
      </c>
      <c r="J14" s="35">
        <f t="shared" si="0"/>
        <v>5.5657606569097705E-2</v>
      </c>
      <c r="K14" s="35">
        <f t="shared" si="1"/>
        <v>102.98237731556364</v>
      </c>
      <c r="L14" s="35">
        <f t="shared" si="2"/>
        <v>0.12117687772823239</v>
      </c>
    </row>
    <row r="15" spans="2:13" ht="13.5" customHeight="1" outlineLevel="1" x14ac:dyDescent="0.2">
      <c r="B15" s="54" t="s">
        <v>28</v>
      </c>
      <c r="C15" s="24">
        <f>237720268.65</f>
        <v>237720268.65000001</v>
      </c>
      <c r="D15" s="53">
        <f>255956261.69</f>
        <v>255956261.69</v>
      </c>
      <c r="E15" s="24">
        <f>0</f>
        <v>0</v>
      </c>
      <c r="F15" s="24">
        <f>0</f>
        <v>0</v>
      </c>
      <c r="G15" s="24">
        <f>4912088.86</f>
        <v>4912088.8600000003</v>
      </c>
      <c r="H15" s="24">
        <f>9606002.19</f>
        <v>9606002.1899999995</v>
      </c>
      <c r="I15" s="24">
        <f>0</f>
        <v>0</v>
      </c>
      <c r="J15" s="35">
        <f t="shared" si="0"/>
        <v>0.1503355105252791</v>
      </c>
      <c r="K15" s="35">
        <f t="shared" si="1"/>
        <v>107.6711982295667</v>
      </c>
      <c r="L15" s="35">
        <f t="shared" si="2"/>
        <v>0.3273081416915925</v>
      </c>
    </row>
    <row r="16" spans="2:13" ht="22.5" customHeight="1" outlineLevel="1" x14ac:dyDescent="0.2">
      <c r="B16" s="54" t="s">
        <v>29</v>
      </c>
      <c r="C16" s="24">
        <f>1787211462.88</f>
        <v>1787211462.8800001</v>
      </c>
      <c r="D16" s="53">
        <f>1742233129.99</f>
        <v>1742233129.99</v>
      </c>
      <c r="E16" s="24">
        <f>0</f>
        <v>0</v>
      </c>
      <c r="F16" s="24">
        <f>0</f>
        <v>0</v>
      </c>
      <c r="G16" s="24">
        <f>177894.37</f>
        <v>177894.37</v>
      </c>
      <c r="H16" s="24">
        <f>507541.7</f>
        <v>507541.7</v>
      </c>
      <c r="I16" s="24">
        <f>0</f>
        <v>0</v>
      </c>
      <c r="J16" s="35">
        <f t="shared" si="0"/>
        <v>1.0232979077039497</v>
      </c>
      <c r="K16" s="35">
        <f t="shared" si="1"/>
        <v>97.483323388183749</v>
      </c>
      <c r="L16" s="35">
        <f t="shared" si="2"/>
        <v>2.2279083324837945</v>
      </c>
    </row>
    <row r="17" spans="2:12" ht="13.5" customHeight="1" outlineLevel="1" x14ac:dyDescent="0.2">
      <c r="B17" s="54" t="s">
        <v>30</v>
      </c>
      <c r="C17" s="24">
        <f>201288561.39</f>
        <v>201288561.38999999</v>
      </c>
      <c r="D17" s="53">
        <f>188110162.82</f>
        <v>188110162.81999999</v>
      </c>
      <c r="E17" s="24">
        <f>0</f>
        <v>0</v>
      </c>
      <c r="F17" s="24">
        <f>0</f>
        <v>0</v>
      </c>
      <c r="G17" s="24">
        <f>1351</f>
        <v>1351</v>
      </c>
      <c r="H17" s="24">
        <f>6697</f>
        <v>6697</v>
      </c>
      <c r="I17" s="24">
        <f>0</f>
        <v>0</v>
      </c>
      <c r="J17" s="35">
        <f t="shared" si="0"/>
        <v>0.11048621032287463</v>
      </c>
      <c r="K17" s="35">
        <f t="shared" si="1"/>
        <v>93.452981888788699</v>
      </c>
      <c r="L17" s="35">
        <f t="shared" si="2"/>
        <v>0.24054886338544529</v>
      </c>
    </row>
    <row r="18" spans="2:12" ht="13.5" customHeight="1" outlineLevel="1" x14ac:dyDescent="0.2">
      <c r="B18" s="54" t="s">
        <v>31</v>
      </c>
      <c r="C18" s="24">
        <f>431377080.73</f>
        <v>431377080.73000002</v>
      </c>
      <c r="D18" s="53">
        <f>399809464.91</f>
        <v>399809464.91000003</v>
      </c>
      <c r="E18" s="24">
        <f>0</f>
        <v>0</v>
      </c>
      <c r="F18" s="24">
        <f>0</f>
        <v>0</v>
      </c>
      <c r="G18" s="24">
        <f>33922.2</f>
        <v>33922.199999999997</v>
      </c>
      <c r="H18" s="24">
        <f>356538</f>
        <v>356538</v>
      </c>
      <c r="I18" s="24">
        <f>0</f>
        <v>0</v>
      </c>
      <c r="J18" s="35">
        <f t="shared" si="0"/>
        <v>0.23482746475208344</v>
      </c>
      <c r="K18" s="35">
        <f t="shared" si="1"/>
        <v>92.682129572906476</v>
      </c>
      <c r="L18" s="35">
        <f t="shared" si="2"/>
        <v>0.51126271389638245</v>
      </c>
    </row>
    <row r="19" spans="2:12" ht="13.5" customHeight="1" outlineLevel="1" x14ac:dyDescent="0.2">
      <c r="B19" s="54" t="s">
        <v>32</v>
      </c>
      <c r="C19" s="24">
        <f>114453951.49</f>
        <v>114453951.48999999</v>
      </c>
      <c r="D19" s="53">
        <f>107965289.2</f>
        <v>107965289.2</v>
      </c>
      <c r="E19" s="24">
        <f>2033002.4</f>
        <v>2033002.4</v>
      </c>
      <c r="F19" s="24">
        <f>0</f>
        <v>0</v>
      </c>
      <c r="G19" s="24">
        <f>7221.8</f>
        <v>7221.8</v>
      </c>
      <c r="H19" s="24">
        <f>78931.54</f>
        <v>78931.539999999994</v>
      </c>
      <c r="I19" s="24">
        <f>0</f>
        <v>0</v>
      </c>
      <c r="J19" s="35">
        <f t="shared" si="0"/>
        <v>6.3413243980526293E-2</v>
      </c>
      <c r="K19" s="35">
        <f t="shared" si="1"/>
        <v>94.330766036883475</v>
      </c>
      <c r="L19" s="35">
        <f t="shared" si="2"/>
        <v>0.13806233120425349</v>
      </c>
    </row>
    <row r="20" spans="2:12" ht="13.5" customHeight="1" outlineLevel="1" x14ac:dyDescent="0.2">
      <c r="B20" s="54" t="s">
        <v>24</v>
      </c>
      <c r="C20" s="24">
        <f>5072804210.02</f>
        <v>5072804210.0200005</v>
      </c>
      <c r="D20" s="53">
        <f>4311911904.96</f>
        <v>4311911904.96</v>
      </c>
      <c r="E20" s="24">
        <f>0</f>
        <v>0</v>
      </c>
      <c r="F20" s="24">
        <f>0</f>
        <v>0</v>
      </c>
      <c r="G20" s="24">
        <f>14258.33</f>
        <v>14258.33</v>
      </c>
      <c r="H20" s="24">
        <f>17476.7</f>
        <v>17476.7</v>
      </c>
      <c r="I20" s="24">
        <f>6350</f>
        <v>6350</v>
      </c>
      <c r="J20" s="35">
        <f t="shared" si="0"/>
        <v>2.5325947225987178</v>
      </c>
      <c r="K20" s="35">
        <f t="shared" si="1"/>
        <v>85.000558398113284</v>
      </c>
      <c r="L20" s="35">
        <f t="shared" si="2"/>
        <v>5.5139259474715612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25008370701.059986</v>
      </c>
      <c r="D21" s="24">
        <f t="shared" ref="D21:I21" si="3">D7-D8-D9-D10-D11-D12-D13-D14-D15-D16-D17-D18-D19-D20</f>
        <v>24267314392.250023</v>
      </c>
      <c r="E21" s="24">
        <f t="shared" si="3"/>
        <v>22215863.340000011</v>
      </c>
      <c r="F21" s="24">
        <f t="shared" si="3"/>
        <v>-1.4202669262886047E-8</v>
      </c>
      <c r="G21" s="24">
        <f t="shared" si="3"/>
        <v>16263787.360000003</v>
      </c>
      <c r="H21" s="24">
        <f t="shared" si="3"/>
        <v>13174631.080000008</v>
      </c>
      <c r="I21" s="24">
        <f t="shared" si="3"/>
        <v>710160.52000000014</v>
      </c>
      <c r="J21" s="35">
        <f t="shared" si="0"/>
        <v>14.253369205145313</v>
      </c>
      <c r="K21" s="35">
        <f t="shared" si="1"/>
        <v>97.036766938285382</v>
      </c>
      <c r="L21" s="35">
        <f t="shared" si="2"/>
        <v>31.032214352282498</v>
      </c>
    </row>
    <row r="22" spans="2:12" ht="27" customHeight="1" x14ac:dyDescent="0.2">
      <c r="B22" s="85" t="s">
        <v>98</v>
      </c>
      <c r="C22" s="45">
        <f>C23+C42+C44</f>
        <v>50552609171.589996</v>
      </c>
      <c r="D22" s="45">
        <f>D23+D42+D44</f>
        <v>45003357015.269997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26.43265145213028</v>
      </c>
      <c r="K22" s="46">
        <f t="shared" si="1"/>
        <v>89.022817521674796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44242756379.319992</v>
      </c>
      <c r="D23" s="45">
        <f>D24+D26+D28+D30+D32+D34+D36+D38+D40</f>
        <v>40188899792.799995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23.6048875222181</v>
      </c>
      <c r="K23" s="46">
        <f t="shared" si="1"/>
        <v>90.837242255514496</v>
      </c>
      <c r="L23" s="29"/>
    </row>
    <row r="24" spans="2:12" ht="22.5" customHeight="1" outlineLevel="1" x14ac:dyDescent="0.2">
      <c r="B24" s="83" t="s">
        <v>9</v>
      </c>
      <c r="C24" s="24">
        <f>15217062445.2</f>
        <v>15217062445.200001</v>
      </c>
      <c r="D24" s="24">
        <f>15074861530.87</f>
        <v>15074861530.870001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8.8541963747151176</v>
      </c>
      <c r="K24" s="35">
        <f t="shared" si="1"/>
        <v>99.065516653808203</v>
      </c>
      <c r="L24" s="29"/>
    </row>
    <row r="25" spans="2:12" ht="13.5" customHeight="1" outlineLevel="1" x14ac:dyDescent="0.2">
      <c r="B25" s="94" t="s">
        <v>6</v>
      </c>
      <c r="C25" s="24">
        <f>15183443.13</f>
        <v>15183443.130000001</v>
      </c>
      <c r="D25" s="24">
        <f>12269160.37</f>
        <v>12269160.369999999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7.2062721801055872E-3</v>
      </c>
      <c r="K25" s="35">
        <f t="shared" si="1"/>
        <v>80.806179895771763</v>
      </c>
      <c r="L25" s="29"/>
    </row>
    <row r="26" spans="2:12" ht="13.5" customHeight="1" outlineLevel="1" x14ac:dyDescent="0.2">
      <c r="B26" s="83" t="s">
        <v>7</v>
      </c>
      <c r="C26" s="24">
        <f>4187423310.73</f>
        <v>4187423310.73</v>
      </c>
      <c r="D26" s="24">
        <f>4003971112.09</f>
        <v>4003971112.0900002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2.3517261788795571</v>
      </c>
      <c r="K26" s="35">
        <f t="shared" si="1"/>
        <v>95.618971739257518</v>
      </c>
      <c r="L26" s="29"/>
    </row>
    <row r="27" spans="2:12" ht="13.5" customHeight="1" outlineLevel="1" x14ac:dyDescent="0.2">
      <c r="B27" s="94" t="s">
        <v>6</v>
      </c>
      <c r="C27" s="24">
        <f>672057887.02</f>
        <v>672057887.01999998</v>
      </c>
      <c r="D27" s="24">
        <f>595463217.24</f>
        <v>595463217.24000001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0.34974439059131651</v>
      </c>
      <c r="K27" s="35">
        <f t="shared" si="1"/>
        <v>88.602965420191467</v>
      </c>
      <c r="L27" s="29"/>
    </row>
    <row r="28" spans="2:12" ht="35.1" customHeight="1" outlineLevel="1" x14ac:dyDescent="0.2">
      <c r="B28" s="83" t="s">
        <v>10</v>
      </c>
      <c r="C28" s="24">
        <f>90750907.91</f>
        <v>90750907.909999996</v>
      </c>
      <c r="D28" s="24">
        <f>86253202.05</f>
        <v>86253202.049999997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5.0660683505104526E-2</v>
      </c>
      <c r="K28" s="35">
        <f t="shared" si="1"/>
        <v>95.043899875403469</v>
      </c>
      <c r="L28" s="29"/>
    </row>
    <row r="29" spans="2:12" ht="13.5" customHeight="1" outlineLevel="1" x14ac:dyDescent="0.2">
      <c r="B29" s="94" t="s">
        <v>6</v>
      </c>
      <c r="C29" s="24">
        <f>25148182.12</f>
        <v>25148182.120000001</v>
      </c>
      <c r="D29" s="24">
        <f>22750597.78</f>
        <v>22750597.780000001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1.3362528071901462E-2</v>
      </c>
      <c r="K29" s="35">
        <f t="shared" si="1"/>
        <v>90.466172351705552</v>
      </c>
      <c r="L29" s="29"/>
    </row>
    <row r="30" spans="2:12" ht="24" customHeight="1" outlineLevel="1" x14ac:dyDescent="0.2">
      <c r="B30" s="83" t="s">
        <v>11</v>
      </c>
      <c r="C30" s="24">
        <f>808134541.3</f>
        <v>808134541.29999995</v>
      </c>
      <c r="D30" s="24">
        <f>754436560.68</f>
        <v>754436560.67999995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0.44311713556017562</v>
      </c>
      <c r="K30" s="35">
        <f t="shared" si="1"/>
        <v>93.355316735550119</v>
      </c>
      <c r="L30" s="29"/>
    </row>
    <row r="31" spans="2:12" ht="13.5" customHeight="1" outlineLevel="1" x14ac:dyDescent="0.2">
      <c r="B31" s="94" t="s">
        <v>6</v>
      </c>
      <c r="C31" s="24">
        <f>330141065.23</f>
        <v>330141065.23000002</v>
      </c>
      <c r="D31" s="24">
        <f>283350701.41</f>
        <v>283350701.41000003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0.16642559190741821</v>
      </c>
      <c r="K31" s="35">
        <f t="shared" si="1"/>
        <v>85.827160342079097</v>
      </c>
      <c r="L31" s="29"/>
    </row>
    <row r="32" spans="2:12" ht="35.1" customHeight="1" outlineLevel="1" x14ac:dyDescent="0.2">
      <c r="B32" s="83" t="s">
        <v>75</v>
      </c>
      <c r="C32" s="24">
        <f>935592913.17</f>
        <v>935592913.16999996</v>
      </c>
      <c r="D32" s="24">
        <f>861089463.37</f>
        <v>861089463.37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0.50575955137387119</v>
      </c>
      <c r="K32" s="35">
        <f t="shared" si="1"/>
        <v>92.036766338089777</v>
      </c>
      <c r="L32" s="29"/>
    </row>
    <row r="33" spans="2:12" ht="13.5" customHeight="1" outlineLevel="1" x14ac:dyDescent="0.2">
      <c r="B33" s="94" t="s">
        <v>6</v>
      </c>
      <c r="C33" s="24">
        <f>815738612.34</f>
        <v>815738612.34000003</v>
      </c>
      <c r="D33" s="24">
        <f>744356744.88</f>
        <v>744356744.88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0.43719677149372005</v>
      </c>
      <c r="K33" s="35">
        <f t="shared" si="1"/>
        <v>91.249419068782771</v>
      </c>
      <c r="L33" s="29"/>
    </row>
    <row r="34" spans="2:12" ht="13.5" customHeight="1" outlineLevel="1" x14ac:dyDescent="0.2">
      <c r="B34" s="83" t="s">
        <v>8</v>
      </c>
      <c r="C34" s="24">
        <f>517092927.98</f>
        <v>517092927.98000002</v>
      </c>
      <c r="D34" s="24">
        <f>467063063.57</f>
        <v>467063063.56999999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0.2743287608815711</v>
      </c>
      <c r="K34" s="35">
        <f t="shared" si="1"/>
        <v>90.32478270290035</v>
      </c>
      <c r="L34" s="29"/>
    </row>
    <row r="35" spans="2:12" ht="13.5" customHeight="1" outlineLevel="1" x14ac:dyDescent="0.2">
      <c r="B35" s="95" t="s">
        <v>6</v>
      </c>
      <c r="C35" s="22">
        <f>437716911.64</f>
        <v>437716911.63999999</v>
      </c>
      <c r="D35" s="22">
        <f>393177881.76</f>
        <v>393177881.75999999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0.23093241474680731</v>
      </c>
      <c r="K35" s="35">
        <f t="shared" si="1"/>
        <v>89.824695209256362</v>
      </c>
      <c r="L35" s="29"/>
    </row>
    <row r="36" spans="2:12" ht="71.099999999999994" customHeight="1" outlineLevel="1" x14ac:dyDescent="0.2">
      <c r="B36" s="83" t="s">
        <v>92</v>
      </c>
      <c r="C36" s="22">
        <f>19683814.24</f>
        <v>19683814.239999998</v>
      </c>
      <c r="D36" s="22">
        <f>17874407.91</f>
        <v>17874407.91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1.0498505567882821E-2</v>
      </c>
      <c r="K36" s="35">
        <f>IF(C36=0,"",100*D36/C36)</f>
        <v>90.80764374252702</v>
      </c>
      <c r="L36" s="29"/>
    </row>
    <row r="37" spans="2:12" ht="13.5" customHeight="1" outlineLevel="1" x14ac:dyDescent="0.2">
      <c r="B37" s="95" t="s">
        <v>93</v>
      </c>
      <c r="C37" s="22">
        <f>14831422.43</f>
        <v>14831422.43</v>
      </c>
      <c r="D37" s="22">
        <f>13711894.96</f>
        <v>13711894.960000001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8.0536600881334804E-3</v>
      </c>
      <c r="K37" s="35">
        <f>IF(C37=0,"",100*D37/C37)</f>
        <v>92.451651382166176</v>
      </c>
      <c r="L37" s="29"/>
    </row>
    <row r="38" spans="2:12" ht="48" customHeight="1" outlineLevel="1" x14ac:dyDescent="0.2">
      <c r="B38" s="96" t="s">
        <v>90</v>
      </c>
      <c r="C38" s="22">
        <f>20471491430.84</f>
        <v>20471491430.84</v>
      </c>
      <c r="D38" s="22">
        <f>16983133144.48</f>
        <v>16983133144.48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9.9750167264376</v>
      </c>
      <c r="K38" s="35">
        <f t="shared" si="1"/>
        <v>82.959921126680399</v>
      </c>
      <c r="L38" s="29"/>
    </row>
    <row r="39" spans="2:12" ht="13.5" customHeight="1" outlineLevel="1" x14ac:dyDescent="0.2">
      <c r="B39" s="95" t="s">
        <v>6</v>
      </c>
      <c r="C39" s="22">
        <f>19795740236.48</f>
        <v>19795740236.48</v>
      </c>
      <c r="D39" s="22">
        <f>16444115774.18</f>
        <v>16444115774.18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9.6584257158836682</v>
      </c>
      <c r="K39" s="35">
        <f t="shared" si="1"/>
        <v>83.068961189319126</v>
      </c>
      <c r="L39" s="29"/>
    </row>
    <row r="40" spans="2:12" ht="22.5" outlineLevel="1" x14ac:dyDescent="0.2">
      <c r="B40" s="96" t="s">
        <v>104</v>
      </c>
      <c r="C40" s="22">
        <f>1995524087.95</f>
        <v>1995524087.95</v>
      </c>
      <c r="D40" s="22">
        <f>1940217307.78</f>
        <v>1940217307.78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1.1395836052972199</v>
      </c>
      <c r="K40" s="35">
        <f t="shared" si="1"/>
        <v>97.228458403285089</v>
      </c>
      <c r="L40" s="29"/>
    </row>
    <row r="41" spans="2:12" ht="13.5" customHeight="1" outlineLevel="1" x14ac:dyDescent="0.2">
      <c r="B41" s="95" t="s">
        <v>6</v>
      </c>
      <c r="C41" s="22">
        <f>4597595.81</f>
        <v>4597595.8099999996</v>
      </c>
      <c r="D41" s="22">
        <f>2582540.4</f>
        <v>2582540.4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1.5168510702675535E-3</v>
      </c>
      <c r="K41" s="35">
        <f t="shared" si="1"/>
        <v>56.171540664423915</v>
      </c>
      <c r="L41" s="29"/>
    </row>
    <row r="42" spans="2:12" outlineLevel="1" x14ac:dyDescent="0.2">
      <c r="B42" s="93" t="s">
        <v>86</v>
      </c>
      <c r="C42" s="45">
        <f>887177801.93</f>
        <v>887177801.92999995</v>
      </c>
      <c r="D42" s="45">
        <f>707215876.15</f>
        <v>707215876.14999998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0.41538214025551473</v>
      </c>
      <c r="K42" s="46">
        <f t="shared" si="1"/>
        <v>79.715235729692068</v>
      </c>
      <c r="L42" s="29"/>
    </row>
    <row r="43" spans="2:12" ht="13.5" customHeight="1" outlineLevel="1" x14ac:dyDescent="0.2">
      <c r="B43" s="95" t="s">
        <v>87</v>
      </c>
      <c r="C43" s="22">
        <f>724948976.74</f>
        <v>724948976.74000001</v>
      </c>
      <c r="D43" s="22">
        <f>578629696.89</f>
        <v>578629696.88999999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0.3398572487060364</v>
      </c>
      <c r="K43" s="35">
        <f t="shared" si="1"/>
        <v>79.816609920883181</v>
      </c>
      <c r="L43" s="29"/>
    </row>
    <row r="44" spans="2:12" ht="13.5" customHeight="1" outlineLevel="1" x14ac:dyDescent="0.2">
      <c r="B44" s="93" t="s">
        <v>88</v>
      </c>
      <c r="C44" s="41">
        <f>5422674990.34</f>
        <v>5422674990.3400002</v>
      </c>
      <c r="D44" s="41">
        <f>4107241346.32</f>
        <v>4107241346.3200002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2.4123817896566653</v>
      </c>
      <c r="K44" s="55">
        <f t="shared" si="1"/>
        <v>75.741978887480343</v>
      </c>
      <c r="L44" s="29"/>
    </row>
    <row r="45" spans="2:12" ht="13.5" customHeight="1" outlineLevel="1" x14ac:dyDescent="0.2">
      <c r="B45" s="95" t="s">
        <v>89</v>
      </c>
      <c r="C45" s="22">
        <f>4864702954.4</f>
        <v>4864702954.3999996</v>
      </c>
      <c r="D45" s="22">
        <f>3654803988.22</f>
        <v>3654803988.2199998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2.1466434140389947</v>
      </c>
      <c r="K45" s="35">
        <f t="shared" si="1"/>
        <v>75.129026838407952</v>
      </c>
      <c r="L45" s="29"/>
    </row>
    <row r="46" spans="2:12" s="5" customFormat="1" ht="25.5" customHeight="1" x14ac:dyDescent="0.2">
      <c r="B46" s="85" t="s">
        <v>60</v>
      </c>
      <c r="C46" s="25">
        <f>C47+C48+C49+C50+C51</f>
        <v>46774392714</v>
      </c>
      <c r="D46" s="25">
        <f>D47+D48+D49+D50+D51</f>
        <v>47052935754.550003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27.636468323407296</v>
      </c>
      <c r="K46" s="34">
        <f t="shared" si="1"/>
        <v>100.59550327516412</v>
      </c>
      <c r="L46" s="30"/>
    </row>
    <row r="47" spans="2:12" ht="13.5" customHeight="1" outlineLevel="1" x14ac:dyDescent="0.2">
      <c r="B47" s="32" t="s">
        <v>47</v>
      </c>
      <c r="C47" s="22">
        <f>10113073010</f>
        <v>10113073010</v>
      </c>
      <c r="D47" s="22">
        <f>10113127164</f>
        <v>10113127164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5.9399294440719181</v>
      </c>
      <c r="K47" s="35">
        <f t="shared" si="1"/>
        <v>100.0005354851087</v>
      </c>
      <c r="L47" s="29"/>
    </row>
    <row r="48" spans="2:12" ht="13.5" customHeight="1" outlineLevel="1" x14ac:dyDescent="0.2">
      <c r="B48" s="54" t="s">
        <v>46</v>
      </c>
      <c r="C48" s="24">
        <f>28154004449.58</f>
        <v>28154004449.580002</v>
      </c>
      <c r="D48" s="24">
        <f>28158313385</f>
        <v>28158313385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16.538741386181773</v>
      </c>
      <c r="K48" s="35">
        <f t="shared" si="1"/>
        <v>100.01530487582225</v>
      </c>
      <c r="L48" s="29"/>
    </row>
    <row r="49" spans="1:26" ht="13.5" customHeight="1" outlineLevel="1" x14ac:dyDescent="0.2">
      <c r="B49" s="54" t="s">
        <v>45</v>
      </c>
      <c r="C49" s="24">
        <f>1320101</f>
        <v>1320101</v>
      </c>
      <c r="D49" s="24">
        <f>1320101</f>
        <v>1320101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7.7535926048292135E-4</v>
      </c>
      <c r="K49" s="35">
        <f t="shared" si="1"/>
        <v>100</v>
      </c>
      <c r="L49" s="29"/>
    </row>
    <row r="50" spans="1:26" ht="13.5" customHeight="1" outlineLevel="1" x14ac:dyDescent="0.2">
      <c r="B50" s="54" t="s">
        <v>44</v>
      </c>
      <c r="C50" s="24">
        <f>394500197</f>
        <v>394500197</v>
      </c>
      <c r="D50" s="24">
        <f>394250783</f>
        <v>394250783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0.23156258161435578</v>
      </c>
      <c r="K50" s="35">
        <f t="shared" si="1"/>
        <v>99.936777217883119</v>
      </c>
      <c r="L50" s="29"/>
    </row>
    <row r="51" spans="1:26" s="5" customFormat="1" ht="13.5" customHeight="1" outlineLevel="1" x14ac:dyDescent="0.2">
      <c r="B51" s="54" t="s">
        <v>42</v>
      </c>
      <c r="C51" s="24">
        <f>8111494956.42</f>
        <v>8111494956.4200001</v>
      </c>
      <c r="D51" s="24">
        <f>8385924321.55</f>
        <v>8385924321.5500002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4.9254595522787668</v>
      </c>
      <c r="K51" s="35">
        <f t="shared" si="1"/>
        <v>103.38321562923241</v>
      </c>
      <c r="L51" s="30"/>
    </row>
    <row r="52" spans="1:26" s="5" customFormat="1" x14ac:dyDescent="0.2">
      <c r="A52" s="2"/>
      <c r="B52" s="20"/>
      <c r="C52" s="7"/>
      <c r="D52" s="8"/>
      <c r="E52" s="16"/>
      <c r="F52" s="16"/>
      <c r="G52" s="16"/>
      <c r="H52" s="16"/>
      <c r="I52" s="16"/>
      <c r="J52" s="9"/>
      <c r="K52" s="9"/>
      <c r="L52" s="3"/>
    </row>
    <row r="53" spans="1:26" s="5" customFormat="1" ht="13.5" customHeight="1" x14ac:dyDescent="0.2">
      <c r="A53" s="2"/>
      <c r="B53" s="84" t="s">
        <v>5</v>
      </c>
      <c r="C53" s="41">
        <f t="shared" ref="C53:I53" si="4">+C6</f>
        <v>177345405486.73999</v>
      </c>
      <c r="D53" s="41">
        <f t="shared" si="4"/>
        <v>170256688386.98001</v>
      </c>
      <c r="E53" s="41">
        <f t="shared" si="4"/>
        <v>4022498656.6999998</v>
      </c>
      <c r="F53" s="41">
        <f t="shared" si="4"/>
        <v>675857369.75999999</v>
      </c>
      <c r="G53" s="41">
        <f t="shared" si="4"/>
        <v>111819455.76000001</v>
      </c>
      <c r="H53" s="41">
        <f t="shared" si="4"/>
        <v>102764274.98</v>
      </c>
      <c r="I53" s="41">
        <f t="shared" si="4"/>
        <v>2031327.46</v>
      </c>
      <c r="J53" s="56">
        <f t="shared" si="0"/>
        <v>100</v>
      </c>
      <c r="K53" s="78">
        <f>IF(C53=0,"",100*D53/C53)</f>
        <v>96.002875247709767</v>
      </c>
      <c r="L53" s="80"/>
    </row>
    <row r="54" spans="1:26" s="5" customFormat="1" ht="13.5" customHeight="1" x14ac:dyDescent="0.2">
      <c r="A54" s="2"/>
      <c r="B54" s="86" t="s">
        <v>70</v>
      </c>
      <c r="C54" s="24">
        <f>35347039658.92</f>
        <v>35347039658.919998</v>
      </c>
      <c r="D54" s="24">
        <f>29714414954.81</f>
        <v>29714414954.810001</v>
      </c>
      <c r="E54" s="24">
        <f>0</f>
        <v>0</v>
      </c>
      <c r="F54" s="24">
        <f>0</f>
        <v>0</v>
      </c>
      <c r="G54" s="24">
        <f>0</f>
        <v>0</v>
      </c>
      <c r="H54" s="24">
        <f>0</f>
        <v>0</v>
      </c>
      <c r="I54" s="24">
        <f>6350</f>
        <v>6350</v>
      </c>
      <c r="J54" s="38">
        <f t="shared" si="0"/>
        <v>17.452715212733072</v>
      </c>
      <c r="K54" s="79">
        <f>IF(C54=0,"",100*D54/C54)</f>
        <v>84.064790832664315</v>
      </c>
      <c r="L54" s="80"/>
    </row>
    <row r="55" spans="1:26" s="5" customFormat="1" ht="13.5" customHeight="1" x14ac:dyDescent="0.2">
      <c r="A55" s="2"/>
      <c r="B55" s="86" t="s">
        <v>71</v>
      </c>
      <c r="C55" s="24">
        <f>C53-C54</f>
        <v>141998365827.82001</v>
      </c>
      <c r="D55" s="24">
        <f t="shared" ref="D55:I55" si="5">D53-D54</f>
        <v>140542273432.17001</v>
      </c>
      <c r="E55" s="24">
        <f t="shared" si="5"/>
        <v>4022498656.6999998</v>
      </c>
      <c r="F55" s="24">
        <f t="shared" si="5"/>
        <v>675857369.75999999</v>
      </c>
      <c r="G55" s="24">
        <f t="shared" si="5"/>
        <v>111819455.76000001</v>
      </c>
      <c r="H55" s="24">
        <f t="shared" si="5"/>
        <v>102764274.98</v>
      </c>
      <c r="I55" s="24">
        <f t="shared" si="5"/>
        <v>2024977.46</v>
      </c>
      <c r="J55" s="38">
        <f t="shared" si="0"/>
        <v>82.547284787266932</v>
      </c>
      <c r="K55" s="79">
        <f>IF(C55=0,"",100*D55/C55)</f>
        <v>98.974571019066815</v>
      </c>
      <c r="L55" s="80"/>
    </row>
    <row r="56" spans="1:26" s="5" customFormat="1" ht="13.5" customHeight="1" x14ac:dyDescent="0.2">
      <c r="A56" s="2"/>
      <c r="B56" s="105" t="s">
        <v>105</v>
      </c>
      <c r="C56" s="105"/>
      <c r="D56" s="105"/>
      <c r="E56" s="105"/>
      <c r="F56" s="76"/>
      <c r="G56" s="76"/>
      <c r="H56" s="76"/>
      <c r="I56" s="76"/>
      <c r="J56" s="9"/>
      <c r="K56" s="9"/>
      <c r="L56" s="9"/>
    </row>
    <row r="57" spans="1:26" ht="15" x14ac:dyDescent="0.2">
      <c r="B57" s="91" t="str">
        <f>CONCATENATE("Informacja z wykonania budżetów gmin za ",$D$117," ",$C$118," rok     ",$C$120,"")</f>
        <v xml:space="preserve">Informacja z wykonania budżetów gmin za IV Kwartały 2023 rok     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</row>
    <row r="58" spans="1:26" s="5" customFormat="1" ht="7.5" customHeight="1" x14ac:dyDescent="0.2">
      <c r="B58" s="6"/>
      <c r="C58" s="7"/>
      <c r="D58" s="8"/>
      <c r="E58" s="8"/>
      <c r="F58" s="4"/>
      <c r="G58" s="4"/>
      <c r="H58" s="4"/>
      <c r="I58" s="4"/>
      <c r="J58" s="4"/>
      <c r="K58" s="9"/>
      <c r="L58" s="9"/>
      <c r="M58" s="3"/>
    </row>
    <row r="59" spans="1:26" ht="29.25" customHeight="1" x14ac:dyDescent="0.2">
      <c r="B59" s="125" t="s">
        <v>0</v>
      </c>
      <c r="C59" s="109" t="s">
        <v>53</v>
      </c>
      <c r="D59" s="109" t="s">
        <v>55</v>
      </c>
      <c r="E59" s="109" t="s">
        <v>54</v>
      </c>
      <c r="F59" s="109" t="s">
        <v>12</v>
      </c>
      <c r="G59" s="109"/>
      <c r="H59" s="109"/>
      <c r="I59" s="128" t="s">
        <v>80</v>
      </c>
      <c r="J59" s="109" t="s">
        <v>2</v>
      </c>
      <c r="K59" s="106" t="s">
        <v>18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 x14ac:dyDescent="0.2">
      <c r="B60" s="125"/>
      <c r="C60" s="109"/>
      <c r="D60" s="109"/>
      <c r="E60" s="110"/>
      <c r="F60" s="111" t="s">
        <v>56</v>
      </c>
      <c r="G60" s="112" t="s">
        <v>33</v>
      </c>
      <c r="H60" s="110"/>
      <c r="I60" s="129"/>
      <c r="J60" s="109"/>
      <c r="K60" s="106"/>
      <c r="L60" s="11"/>
      <c r="M60" s="12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.75" customHeight="1" x14ac:dyDescent="0.2">
      <c r="B61" s="125"/>
      <c r="C61" s="109"/>
      <c r="D61" s="109"/>
      <c r="E61" s="110"/>
      <c r="F61" s="110"/>
      <c r="G61" s="18" t="s">
        <v>51</v>
      </c>
      <c r="H61" s="18" t="s">
        <v>52</v>
      </c>
      <c r="I61" s="130"/>
      <c r="J61" s="109"/>
      <c r="K61" s="106"/>
      <c r="L61" s="11"/>
      <c r="M61" s="10"/>
      <c r="N61" s="2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 x14ac:dyDescent="0.2">
      <c r="B62" s="125"/>
      <c r="C62" s="122" t="s">
        <v>74</v>
      </c>
      <c r="D62" s="123"/>
      <c r="E62" s="123"/>
      <c r="F62" s="123"/>
      <c r="G62" s="123"/>
      <c r="H62" s="123"/>
      <c r="I62" s="124"/>
      <c r="J62" s="127" t="s">
        <v>4</v>
      </c>
      <c r="K62" s="127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B63" s="17">
        <v>1</v>
      </c>
      <c r="C63" s="19">
        <v>2</v>
      </c>
      <c r="D63" s="19">
        <v>3</v>
      </c>
      <c r="E63" s="19">
        <v>4</v>
      </c>
      <c r="F63" s="17">
        <v>5</v>
      </c>
      <c r="G63" s="17">
        <v>6</v>
      </c>
      <c r="H63" s="19">
        <v>7</v>
      </c>
      <c r="I63" s="19">
        <v>8</v>
      </c>
      <c r="J63" s="17">
        <v>9</v>
      </c>
      <c r="K63" s="19">
        <v>10</v>
      </c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.5" customHeight="1" x14ac:dyDescent="0.2">
      <c r="B64" s="84" t="s">
        <v>61</v>
      </c>
      <c r="C64" s="57">
        <f>199218472593.07</f>
        <v>199218472593.07001</v>
      </c>
      <c r="D64" s="68">
        <f>180989005425.17</f>
        <v>180989005425.17001</v>
      </c>
      <c r="E64" s="68">
        <f>181298757994.64</f>
        <v>181298757994.64001</v>
      </c>
      <c r="F64" s="57">
        <f>7421759580.35</f>
        <v>7421759580.3500004</v>
      </c>
      <c r="G64" s="57">
        <f>5647511.49</f>
        <v>5647511.4900000002</v>
      </c>
      <c r="H64" s="57">
        <f>27449636.45</f>
        <v>27449636.449999999</v>
      </c>
      <c r="I64" s="69">
        <f>995835056.89</f>
        <v>995835056.88999999</v>
      </c>
      <c r="J64" s="52">
        <f>IF($D$64=0,"",100*$D64/$D$64)</f>
        <v>99.999999999999986</v>
      </c>
      <c r="K64" s="52">
        <f>IF(C64=0,"",100*D64/C64)</f>
        <v>90.849509620959651</v>
      </c>
      <c r="N64" s="77"/>
    </row>
    <row r="65" spans="2:14" ht="13.5" customHeight="1" x14ac:dyDescent="0.2">
      <c r="B65" s="85" t="s">
        <v>14</v>
      </c>
      <c r="C65" s="26">
        <f>57070247992.9701</f>
        <v>57070247992.9701</v>
      </c>
      <c r="D65" s="26">
        <f>47862112675.19</f>
        <v>47862112675.190002</v>
      </c>
      <c r="E65" s="26">
        <f>48001163243.73</f>
        <v>48001163243.730003</v>
      </c>
      <c r="F65" s="26">
        <f>1091643690.48</f>
        <v>1091643690.48</v>
      </c>
      <c r="G65" s="26">
        <f>3648598.51</f>
        <v>3648598.51</v>
      </c>
      <c r="H65" s="26">
        <f>5691646.48</f>
        <v>5691646.4800000004</v>
      </c>
      <c r="I65" s="70">
        <f>914266189.64</f>
        <v>914266189.63999999</v>
      </c>
      <c r="J65" s="52">
        <f t="shared" ref="J65:J73" si="6">IF($D$64=0,"",100*$D65/$D$64)</f>
        <v>26.444762521764677</v>
      </c>
      <c r="K65" s="52">
        <f t="shared" ref="K65:K73" si="7">IF(C65=0,"",100*D65/C65)</f>
        <v>83.865261424982151</v>
      </c>
      <c r="N65" s="61"/>
    </row>
    <row r="66" spans="2:14" ht="13.5" customHeight="1" outlineLevel="1" x14ac:dyDescent="0.2">
      <c r="B66" s="32" t="s">
        <v>13</v>
      </c>
      <c r="C66" s="22">
        <f>54795809629.3701</f>
        <v>54795809629.370102</v>
      </c>
      <c r="D66" s="22">
        <f>45901853021.67</f>
        <v>45901853021.669998</v>
      </c>
      <c r="E66" s="22">
        <f>46037903589.69</f>
        <v>46037903589.690002</v>
      </c>
      <c r="F66" s="22">
        <f>1064829183.58</f>
        <v>1064829183.58</v>
      </c>
      <c r="G66" s="22">
        <f>3648598.51</f>
        <v>3648598.51</v>
      </c>
      <c r="H66" s="22">
        <f>5691646.48</f>
        <v>5691646.4800000004</v>
      </c>
      <c r="I66" s="66">
        <f>911266189.64</f>
        <v>911266189.63999999</v>
      </c>
      <c r="J66" s="52">
        <f t="shared" si="6"/>
        <v>25.361680348394501</v>
      </c>
      <c r="K66" s="52">
        <f t="shared" si="7"/>
        <v>83.768911039261269</v>
      </c>
      <c r="N66" s="76"/>
    </row>
    <row r="67" spans="2:14" ht="27" customHeight="1" x14ac:dyDescent="0.2">
      <c r="B67" s="85" t="s">
        <v>62</v>
      </c>
      <c r="C67" s="26">
        <f t="shared" ref="C67:I67" si="8">C64-C65</f>
        <v>142148224600.09991</v>
      </c>
      <c r="D67" s="26">
        <f>D64-D65</f>
        <v>133126892749.98001</v>
      </c>
      <c r="E67" s="26">
        <f>E64-E65</f>
        <v>133297594750.91</v>
      </c>
      <c r="F67" s="26">
        <f t="shared" si="8"/>
        <v>6330115889.8700008</v>
      </c>
      <c r="G67" s="26">
        <f t="shared" si="8"/>
        <v>1998912.9800000004</v>
      </c>
      <c r="H67" s="26">
        <f t="shared" si="8"/>
        <v>21757989.969999999</v>
      </c>
      <c r="I67" s="70">
        <f t="shared" si="8"/>
        <v>81568867.25</v>
      </c>
      <c r="J67" s="52">
        <f t="shared" si="6"/>
        <v>73.555237478235327</v>
      </c>
      <c r="K67" s="52">
        <f t="shared" si="7"/>
        <v>93.653574024227694</v>
      </c>
      <c r="N67" s="61"/>
    </row>
    <row r="68" spans="2:14" ht="22.5" outlineLevel="1" x14ac:dyDescent="0.2">
      <c r="B68" s="32" t="s">
        <v>96</v>
      </c>
      <c r="C68" s="22">
        <f>60559010294.2599</f>
        <v>60559010294.259903</v>
      </c>
      <c r="D68" s="22">
        <f>58513570958.47</f>
        <v>58513570958.470001</v>
      </c>
      <c r="E68" s="22">
        <f>58567240059.55</f>
        <v>58567240059.550003</v>
      </c>
      <c r="F68" s="22">
        <f>4623022756.51</f>
        <v>4623022756.5100002</v>
      </c>
      <c r="G68" s="22">
        <f>876128.35</f>
        <v>876128.35</v>
      </c>
      <c r="H68" s="22">
        <f>4895615.92</f>
        <v>4895615.92</v>
      </c>
      <c r="I68" s="66">
        <f>730030.42</f>
        <v>730030.42</v>
      </c>
      <c r="J68" s="52">
        <f t="shared" si="6"/>
        <v>32.32990358779692</v>
      </c>
      <c r="K68" s="52">
        <f t="shared" si="7"/>
        <v>96.622402965552126</v>
      </c>
      <c r="N68" s="76"/>
    </row>
    <row r="69" spans="2:14" ht="13.5" customHeight="1" outlineLevel="1" x14ac:dyDescent="0.2">
      <c r="B69" s="54" t="s">
        <v>50</v>
      </c>
      <c r="C69" s="59">
        <f>12758400429.25</f>
        <v>12758400429.25</v>
      </c>
      <c r="D69" s="59">
        <f>12419891014.44</f>
        <v>12419891014.440001</v>
      </c>
      <c r="E69" s="59">
        <f>12426450550.84</f>
        <v>12426450550.84</v>
      </c>
      <c r="F69" s="59">
        <f>9838463.27000001</f>
        <v>9838463.2700000107</v>
      </c>
      <c r="G69" s="59">
        <f>0</f>
        <v>0</v>
      </c>
      <c r="H69" s="59">
        <f>11792</f>
        <v>11792</v>
      </c>
      <c r="I69" s="71">
        <f>2635783.23</f>
        <v>2635783.23</v>
      </c>
      <c r="J69" s="52">
        <f t="shared" si="6"/>
        <v>6.8622350762488775</v>
      </c>
      <c r="K69" s="52">
        <f t="shared" si="7"/>
        <v>97.346772295734411</v>
      </c>
      <c r="N69" s="75"/>
    </row>
    <row r="70" spans="2:14" ht="13.5" customHeight="1" outlineLevel="1" x14ac:dyDescent="0.2">
      <c r="B70" s="54" t="s">
        <v>49</v>
      </c>
      <c r="C70" s="24">
        <f>2725630100.85</f>
        <v>2725630100.8499999</v>
      </c>
      <c r="D70" s="24">
        <f>2564800561.82</f>
        <v>2564800561.8200002</v>
      </c>
      <c r="E70" s="24">
        <f>2566436344.68</f>
        <v>2566436344.6799998</v>
      </c>
      <c r="F70" s="24">
        <f>80296255.29</f>
        <v>80296255.290000007</v>
      </c>
      <c r="G70" s="24">
        <f>0</f>
        <v>0</v>
      </c>
      <c r="H70" s="24">
        <f>771412.84</f>
        <v>771412.84</v>
      </c>
      <c r="I70" s="72">
        <f>0</f>
        <v>0</v>
      </c>
      <c r="J70" s="52">
        <f t="shared" si="6"/>
        <v>1.41710296478778</v>
      </c>
      <c r="K70" s="52">
        <f t="shared" si="7"/>
        <v>94.099362970058039</v>
      </c>
      <c r="N70" s="76"/>
    </row>
    <row r="71" spans="2:14" ht="24" customHeight="1" outlineLevel="1" x14ac:dyDescent="0.2">
      <c r="B71" s="54" t="s">
        <v>68</v>
      </c>
      <c r="C71" s="59">
        <f>55113725.66</f>
        <v>55113725.659999996</v>
      </c>
      <c r="D71" s="59">
        <f>1600432.82</f>
        <v>1600432.82</v>
      </c>
      <c r="E71" s="59">
        <f>1601243.58</f>
        <v>1601243.58</v>
      </c>
      <c r="F71" s="59">
        <f>0</f>
        <v>0</v>
      </c>
      <c r="G71" s="59">
        <f>0</f>
        <v>0</v>
      </c>
      <c r="H71" s="59">
        <f>0</f>
        <v>0</v>
      </c>
      <c r="I71" s="71">
        <f>0</f>
        <v>0</v>
      </c>
      <c r="J71" s="52">
        <f t="shared" si="6"/>
        <v>8.8427074133058301E-4</v>
      </c>
      <c r="K71" s="52">
        <f t="shared" si="7"/>
        <v>2.9038734014702068</v>
      </c>
      <c r="N71" s="75"/>
    </row>
    <row r="72" spans="2:14" ht="22.5" outlineLevel="1" x14ac:dyDescent="0.2">
      <c r="B72" s="54" t="s">
        <v>69</v>
      </c>
      <c r="C72" s="59">
        <f>16773358855.99</f>
        <v>16773358855.99</v>
      </c>
      <c r="D72" s="59">
        <f>16245318536.39</f>
        <v>16245318536.389999</v>
      </c>
      <c r="E72" s="59">
        <f>16249761514.58</f>
        <v>16249761514.58</v>
      </c>
      <c r="F72" s="59">
        <f>200079745.17</f>
        <v>200079745.16999999</v>
      </c>
      <c r="G72" s="59">
        <f>4075.01</f>
        <v>4075.01</v>
      </c>
      <c r="H72" s="59">
        <f>326997.38</f>
        <v>326997.38</v>
      </c>
      <c r="I72" s="73">
        <f>0</f>
        <v>0</v>
      </c>
      <c r="J72" s="52">
        <f t="shared" si="6"/>
        <v>8.9758593336801518</v>
      </c>
      <c r="K72" s="52">
        <f t="shared" si="7"/>
        <v>96.85191067493659</v>
      </c>
      <c r="N72" s="75"/>
    </row>
    <row r="73" spans="2:14" ht="13.5" customHeight="1" outlineLevel="1" x14ac:dyDescent="0.2">
      <c r="B73" s="54" t="s">
        <v>48</v>
      </c>
      <c r="C73" s="24">
        <f t="shared" ref="C73:I73" si="9">C67-C68-C69-C70-C71-C72</f>
        <v>49276711194.090012</v>
      </c>
      <c r="D73" s="24">
        <f>D67-D68-D69-D70-D71-D72</f>
        <v>43381711246.040009</v>
      </c>
      <c r="E73" s="24">
        <f>E67-E68-E69-E70-E71-E72</f>
        <v>43486105037.68</v>
      </c>
      <c r="F73" s="24">
        <f t="shared" si="9"/>
        <v>1416878669.6300006</v>
      </c>
      <c r="G73" s="24">
        <f t="shared" si="9"/>
        <v>1118709.6200000003</v>
      </c>
      <c r="H73" s="24">
        <f t="shared" si="9"/>
        <v>15752171.829999996</v>
      </c>
      <c r="I73" s="71">
        <f t="shared" si="9"/>
        <v>78203053.599999994</v>
      </c>
      <c r="J73" s="52">
        <f t="shared" si="6"/>
        <v>23.969252244980261</v>
      </c>
      <c r="K73" s="52">
        <f t="shared" si="7"/>
        <v>88.036945231935405</v>
      </c>
      <c r="N73" s="76"/>
    </row>
    <row r="74" spans="2:14" ht="18" customHeight="1" x14ac:dyDescent="0.2">
      <c r="B74" s="84" t="s">
        <v>15</v>
      </c>
      <c r="C74" s="26">
        <f>C6-C64</f>
        <v>-21873067106.330017</v>
      </c>
      <c r="D74" s="26">
        <f>D6-D64</f>
        <v>-10732317038.190002</v>
      </c>
      <c r="E74" s="81"/>
      <c r="F74" s="61"/>
      <c r="G74" s="61"/>
      <c r="H74" s="61"/>
      <c r="I74" s="82"/>
      <c r="J74" s="28"/>
      <c r="K74" s="28"/>
      <c r="L74" s="13"/>
      <c r="N74" s="61"/>
    </row>
    <row r="75" spans="2:14" ht="38.25" x14ac:dyDescent="0.2">
      <c r="B75" s="87" t="s">
        <v>101</v>
      </c>
      <c r="C75" s="26">
        <f>+C55-C67</f>
        <v>-149858772.27990723</v>
      </c>
      <c r="D75" s="26">
        <f>+D55-D67</f>
        <v>7415380682.1900024</v>
      </c>
      <c r="E75" s="81"/>
      <c r="F75" s="61"/>
      <c r="G75" s="61"/>
      <c r="H75" s="61"/>
      <c r="I75" s="61"/>
      <c r="J75" s="28"/>
      <c r="K75" s="28"/>
      <c r="L75" s="13"/>
      <c r="N75" s="61"/>
    </row>
    <row r="76" spans="2:14" x14ac:dyDescent="0.2">
      <c r="B76" s="60"/>
      <c r="C76" s="61"/>
      <c r="D76" s="61"/>
      <c r="E76" s="61"/>
      <c r="F76" s="61"/>
      <c r="G76" s="61"/>
      <c r="H76" s="61"/>
      <c r="I76" s="61"/>
      <c r="J76" s="61"/>
      <c r="K76" s="28"/>
      <c r="L76" s="28"/>
      <c r="M76" s="13"/>
    </row>
    <row r="77" spans="2:14" ht="14.25" customHeight="1" x14ac:dyDescent="0.2">
      <c r="B77" s="103" t="s">
        <v>106</v>
      </c>
      <c r="C77" s="104"/>
      <c r="D77" s="104"/>
      <c r="E77" s="104"/>
      <c r="F77" s="104"/>
      <c r="G77" s="61"/>
      <c r="H77" s="61"/>
      <c r="I77" s="61"/>
      <c r="J77" s="61"/>
      <c r="K77" s="28"/>
      <c r="L77" s="28"/>
      <c r="M77" s="13"/>
    </row>
    <row r="78" spans="2:14" ht="27" customHeight="1" x14ac:dyDescent="0.2">
      <c r="B78" s="84" t="s">
        <v>102</v>
      </c>
      <c r="C78" s="41">
        <f>9328574219.07001</f>
        <v>9328574219.0700092</v>
      </c>
      <c r="D78" s="41">
        <f>8263503762.38002</f>
        <v>8263503762.3800201</v>
      </c>
      <c r="E78" s="41">
        <f>8276225870.77003</f>
        <v>8276225870.77003</v>
      </c>
      <c r="F78" s="41">
        <f>50102341.22</f>
        <v>50102341.219999999</v>
      </c>
      <c r="G78" s="41">
        <f>3233.33</f>
        <v>3233.33</v>
      </c>
      <c r="H78" s="41">
        <f>169488.68</f>
        <v>169488.68</v>
      </c>
      <c r="I78" s="41">
        <f>36877899.1</f>
        <v>36877899.100000001</v>
      </c>
      <c r="J78" s="62">
        <f>IF($D$78=0,"",100*$D78/$D$78)</f>
        <v>99.999999999999986</v>
      </c>
      <c r="K78" s="62">
        <f>IF(C78=0,"",100*D78/C78)</f>
        <v>88.582709086317706</v>
      </c>
      <c r="L78" s="13"/>
    </row>
    <row r="79" spans="2:14" ht="15" customHeight="1" x14ac:dyDescent="0.2">
      <c r="B79" s="88" t="s">
        <v>72</v>
      </c>
      <c r="C79" s="22">
        <f>8190045853.12001</f>
        <v>8190045853.1200104</v>
      </c>
      <c r="D79" s="22">
        <f>7272364365.83</f>
        <v>7272364365.8299999</v>
      </c>
      <c r="E79" s="22">
        <f>7284255004.05</f>
        <v>7284255004.0500002</v>
      </c>
      <c r="F79" s="22">
        <f>47382398.7</f>
        <v>47382398.700000003</v>
      </c>
      <c r="G79" s="22">
        <f>3233.33</f>
        <v>3233.33</v>
      </c>
      <c r="H79" s="22">
        <f>169488.68</f>
        <v>169488.68</v>
      </c>
      <c r="I79" s="22">
        <f>36639723.02</f>
        <v>36639723.020000003</v>
      </c>
      <c r="J79" s="62">
        <f>IF($D$78=0,"",100*$D79/$D$78)</f>
        <v>88.005821440268136</v>
      </c>
      <c r="K79" s="62">
        <f>IF(C79=0,"",100*D79/C79)</f>
        <v>88.795160567502577</v>
      </c>
      <c r="L79" s="13"/>
    </row>
    <row r="80" spans="2:14" ht="14.25" customHeight="1" x14ac:dyDescent="0.2">
      <c r="B80" s="89" t="s">
        <v>73</v>
      </c>
      <c r="C80" s="22">
        <f>+C78-C79</f>
        <v>1138528365.9499989</v>
      </c>
      <c r="D80" s="22">
        <f t="shared" ref="D80:I80" si="10">+D78-D79</f>
        <v>991139396.55002022</v>
      </c>
      <c r="E80" s="22">
        <f t="shared" si="10"/>
        <v>991970866.72002983</v>
      </c>
      <c r="F80" s="22">
        <f t="shared" si="10"/>
        <v>2719942.5199999958</v>
      </c>
      <c r="G80" s="22">
        <f t="shared" si="10"/>
        <v>0</v>
      </c>
      <c r="H80" s="22">
        <f t="shared" si="10"/>
        <v>0</v>
      </c>
      <c r="I80" s="22">
        <f t="shared" si="10"/>
        <v>238176.07999999821</v>
      </c>
      <c r="J80" s="62">
        <f>IF($D$78=0,"",100*$D80/$D$78)</f>
        <v>11.994178559731862</v>
      </c>
      <c r="K80" s="62">
        <f>IF(C80=0,"",100*D80/C80)</f>
        <v>87.054431509311058</v>
      </c>
      <c r="L80" s="10"/>
    </row>
    <row r="81" spans="2:13" ht="15" x14ac:dyDescent="0.2">
      <c r="B81" s="91" t="str">
        <f>CONCATENATE("Informacja z wykonania budżetów gmin za ",$D$117," ",$C$118," rok     ",$C$120,"")</f>
        <v xml:space="preserve">Informacja z wykonania budżetów gmin za IV Kwartały 2023 rok     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3" spans="2:13" ht="18" customHeight="1" x14ac:dyDescent="0.2">
      <c r="B83" s="40" t="s">
        <v>16</v>
      </c>
      <c r="C83" s="67" t="s">
        <v>17</v>
      </c>
      <c r="D83" s="67" t="s">
        <v>1</v>
      </c>
      <c r="E83" s="113" t="s">
        <v>57</v>
      </c>
      <c r="F83" s="114"/>
      <c r="G83" s="114"/>
      <c r="H83" s="114"/>
      <c r="I83" s="115"/>
      <c r="J83" s="19" t="s">
        <v>26</v>
      </c>
      <c r="K83" s="19" t="s">
        <v>27</v>
      </c>
    </row>
    <row r="84" spans="2:13" ht="13.5" customHeight="1" x14ac:dyDescent="0.2">
      <c r="B84" s="40"/>
      <c r="C84" s="111" t="s">
        <v>74</v>
      </c>
      <c r="D84" s="126"/>
      <c r="E84" s="116"/>
      <c r="F84" s="117"/>
      <c r="G84" s="117"/>
      <c r="H84" s="117"/>
      <c r="I84" s="118"/>
      <c r="J84" s="111" t="s">
        <v>4</v>
      </c>
      <c r="K84" s="131"/>
      <c r="M84" s="14"/>
    </row>
    <row r="85" spans="2:13" ht="11.25" customHeight="1" x14ac:dyDescent="0.2">
      <c r="B85" s="39">
        <v>1</v>
      </c>
      <c r="C85" s="42">
        <v>2</v>
      </c>
      <c r="D85" s="42">
        <v>3</v>
      </c>
      <c r="E85" s="119"/>
      <c r="F85" s="120"/>
      <c r="G85" s="120"/>
      <c r="H85" s="120"/>
      <c r="I85" s="121"/>
      <c r="J85" s="31">
        <v>4</v>
      </c>
      <c r="K85" s="31">
        <v>5</v>
      </c>
      <c r="M85" s="10"/>
    </row>
    <row r="86" spans="2:13" ht="27" customHeight="1" x14ac:dyDescent="0.2">
      <c r="B86" s="90" t="s">
        <v>63</v>
      </c>
      <c r="C86" s="43">
        <f>27818520789.27</f>
        <v>27818520789.27</v>
      </c>
      <c r="D86" s="43">
        <f>33292384294.17</f>
        <v>33292384294.169998</v>
      </c>
      <c r="E86" s="43" t="s">
        <v>57</v>
      </c>
      <c r="F86" s="43" t="s">
        <v>57</v>
      </c>
      <c r="G86" s="43" t="s">
        <v>57</v>
      </c>
      <c r="H86" s="43" t="s">
        <v>57</v>
      </c>
      <c r="I86" s="43" t="s">
        <v>57</v>
      </c>
      <c r="J86" s="37">
        <f t="shared" ref="J86:J96" si="11">IF($D$86=0,"",100*$D86/$D$86)</f>
        <v>100</v>
      </c>
      <c r="K86" s="36">
        <f t="shared" ref="K86:K101" si="12">IF(C86=0,"",100*D86/C86)</f>
        <v>119.67704733966785</v>
      </c>
    </row>
    <row r="87" spans="2:13" ht="36" customHeight="1" x14ac:dyDescent="0.2">
      <c r="B87" s="98" t="s">
        <v>103</v>
      </c>
      <c r="C87" s="44">
        <f>10659976105.72</f>
        <v>10659976105.719999</v>
      </c>
      <c r="D87" s="44">
        <f>9032772813.39</f>
        <v>9032772813.3899994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50">
        <f t="shared" si="11"/>
        <v>27.131648888757347</v>
      </c>
      <c r="K87" s="51">
        <f t="shared" si="12"/>
        <v>84.735394561936545</v>
      </c>
    </row>
    <row r="88" spans="2:13" ht="22.5" x14ac:dyDescent="0.2">
      <c r="B88" s="99" t="s">
        <v>81</v>
      </c>
      <c r="C88" s="63">
        <f>425242885.44</f>
        <v>425242885.44</v>
      </c>
      <c r="D88" s="63">
        <f>392327000</f>
        <v>392327000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64">
        <f t="shared" si="11"/>
        <v>1.1784286656474239</v>
      </c>
      <c r="K88" s="58">
        <f t="shared" si="12"/>
        <v>92.259509431664725</v>
      </c>
    </row>
    <row r="89" spans="2:13" ht="13.5" customHeight="1" x14ac:dyDescent="0.2">
      <c r="B89" s="100" t="s">
        <v>82</v>
      </c>
      <c r="C89" s="63">
        <f>171894733.19</f>
        <v>171894733.19</v>
      </c>
      <c r="D89" s="63">
        <f>157508717.93</f>
        <v>157508717.93000001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0.47310735253522279</v>
      </c>
      <c r="K89" s="58">
        <f t="shared" si="12"/>
        <v>91.630915623168775</v>
      </c>
    </row>
    <row r="90" spans="2:13" ht="50.1" customHeight="1" x14ac:dyDescent="0.2">
      <c r="B90" s="100" t="s">
        <v>97</v>
      </c>
      <c r="C90" s="63">
        <f>4310081390.21</f>
        <v>4310081390.21</v>
      </c>
      <c r="D90" s="63">
        <f>7471538498.36</f>
        <v>7471538498.3599997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22.442185072543392</v>
      </c>
      <c r="K90" s="58">
        <f t="shared" si="12"/>
        <v>173.35028789319369</v>
      </c>
    </row>
    <row r="91" spans="2:13" ht="35.1" customHeight="1" x14ac:dyDescent="0.2">
      <c r="B91" s="100" t="s">
        <v>113</v>
      </c>
      <c r="C91" s="63">
        <f>3444209603.45</f>
        <v>3444209603.4499998</v>
      </c>
      <c r="D91" s="63">
        <f>4093363341.94</f>
        <v>4093363341.9400001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12.295194317629003</v>
      </c>
      <c r="K91" s="58">
        <f t="shared" si="12"/>
        <v>118.84768388775629</v>
      </c>
    </row>
    <row r="92" spans="2:13" ht="13.5" customHeight="1" x14ac:dyDescent="0.2">
      <c r="B92" s="100" t="s">
        <v>83</v>
      </c>
      <c r="C92" s="63">
        <f>0</f>
        <v>0</v>
      </c>
      <c r="D92" s="63">
        <f>0</f>
        <v>0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0</v>
      </c>
      <c r="K92" s="58" t="str">
        <f t="shared" si="12"/>
        <v/>
      </c>
    </row>
    <row r="93" spans="2:13" ht="35.1" customHeight="1" x14ac:dyDescent="0.2">
      <c r="B93" s="100" t="s">
        <v>91</v>
      </c>
      <c r="C93" s="63">
        <f>8788609159.99</f>
        <v>8788609159.9899998</v>
      </c>
      <c r="D93" s="63">
        <f>12065659877.03</f>
        <v>12065659877.030001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36.241501270736201</v>
      </c>
      <c r="K93" s="58">
        <f t="shared" si="12"/>
        <v>137.28747811381487</v>
      </c>
    </row>
    <row r="94" spans="2:13" ht="56.25" x14ac:dyDescent="0.2">
      <c r="B94" s="100" t="s">
        <v>114</v>
      </c>
      <c r="C94" s="63">
        <f>0</f>
        <v>0</v>
      </c>
      <c r="D94" s="63">
        <f>8030838.81</f>
        <v>8030838.8099999996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/>
      <c r="K94" s="58"/>
    </row>
    <row r="95" spans="2:13" x14ac:dyDescent="0.2">
      <c r="B95" s="100" t="s">
        <v>108</v>
      </c>
      <c r="C95" s="63">
        <f>443749796.71</f>
        <v>443749796.70999998</v>
      </c>
      <c r="D95" s="63">
        <f>463510206.71</f>
        <v>463510206.70999998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ht="22.5" x14ac:dyDescent="0.2">
      <c r="B96" s="99" t="s">
        <v>109</v>
      </c>
      <c r="C96" s="63">
        <f>429168825.11</f>
        <v>429168825.11000001</v>
      </c>
      <c r="D96" s="63">
        <f>438471253.84</f>
        <v>438471253.83999997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>
        <f t="shared" si="11"/>
        <v>1.3170316969961895</v>
      </c>
      <c r="K96" s="58">
        <f t="shared" si="12"/>
        <v>102.16754530751754</v>
      </c>
    </row>
    <row r="97" spans="2:11" ht="27" customHeight="1" x14ac:dyDescent="0.2">
      <c r="B97" s="90" t="s">
        <v>64</v>
      </c>
      <c r="C97" s="49">
        <f>5944283552.94</f>
        <v>5944283552.9399996</v>
      </c>
      <c r="D97" s="49">
        <f>5667352800.44</f>
        <v>5667352800.4399996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37">
        <f t="shared" ref="J97:J102" si="13">IF($D$97=0,"",100*$D97/$D$97)</f>
        <v>100.00000000000001</v>
      </c>
      <c r="K97" s="36">
        <f t="shared" si="12"/>
        <v>95.34122573336812</v>
      </c>
    </row>
    <row r="98" spans="2:11" ht="36" customHeight="1" x14ac:dyDescent="0.2">
      <c r="B98" s="98" t="s">
        <v>99</v>
      </c>
      <c r="C98" s="44">
        <f>4344335220.5</f>
        <v>4344335220.5</v>
      </c>
      <c r="D98" s="48">
        <f>4290985475.54</f>
        <v>4290985475.54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50">
        <f t="shared" si="13"/>
        <v>75.714105449847025</v>
      </c>
      <c r="K98" s="51">
        <f t="shared" si="12"/>
        <v>98.771969881415828</v>
      </c>
    </row>
    <row r="99" spans="2:11" ht="13.5" customHeight="1" x14ac:dyDescent="0.2">
      <c r="B99" s="99" t="s">
        <v>84</v>
      </c>
      <c r="C99" s="63">
        <f>124279217.78</f>
        <v>124279217.78</v>
      </c>
      <c r="D99" s="63">
        <f>124679217.78</f>
        <v>124679217.78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64">
        <f t="shared" si="13"/>
        <v>2.1999551143228668</v>
      </c>
      <c r="K99" s="58">
        <f t="shared" si="12"/>
        <v>100.32185590410464</v>
      </c>
    </row>
    <row r="100" spans="2:11" ht="13.5" customHeight="1" x14ac:dyDescent="0.2">
      <c r="B100" s="100" t="s">
        <v>85</v>
      </c>
      <c r="C100" s="63">
        <f>159619074.36</f>
        <v>159619074.36000001</v>
      </c>
      <c r="D100" s="63">
        <f>162110138.59</f>
        <v>162110138.59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2.8604208048846749</v>
      </c>
      <c r="K100" s="58">
        <f t="shared" si="12"/>
        <v>101.56063067023037</v>
      </c>
    </row>
    <row r="101" spans="2:11" ht="13.5" customHeight="1" x14ac:dyDescent="0.2">
      <c r="B101" s="100" t="s">
        <v>112</v>
      </c>
      <c r="C101" s="63">
        <f>1440329258.08</f>
        <v>1440329258.0799999</v>
      </c>
      <c r="D101" s="63">
        <f>1214257186.31</f>
        <v>1214257186.3099999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21.425473745268302</v>
      </c>
      <c r="K101" s="58">
        <f t="shared" si="12"/>
        <v>84.304139452713713</v>
      </c>
    </row>
    <row r="102" spans="2:11" ht="22.5" x14ac:dyDescent="0.2">
      <c r="B102" s="99" t="s">
        <v>110</v>
      </c>
      <c r="C102" s="63">
        <f>825827915.26</f>
        <v>825827915.25999999</v>
      </c>
      <c r="D102" s="63">
        <f>692147327.5</f>
        <v>692147327.5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12.212885837039533</v>
      </c>
      <c r="K102" s="58">
        <f>IF(C102=0,"",100*D102/C102)</f>
        <v>83.812537056474696</v>
      </c>
    </row>
    <row r="103" spans="2:11" ht="7.5" customHeight="1" x14ac:dyDescent="0.2"/>
    <row r="104" spans="2:11" x14ac:dyDescent="0.2">
      <c r="B104" s="40" t="s">
        <v>16</v>
      </c>
      <c r="C104" s="67" t="s">
        <v>17</v>
      </c>
      <c r="D104" s="19" t="s">
        <v>1</v>
      </c>
    </row>
    <row r="105" spans="2:11" x14ac:dyDescent="0.2">
      <c r="B105" s="40"/>
      <c r="C105" s="111" t="s">
        <v>74</v>
      </c>
      <c r="D105" s="126"/>
    </row>
    <row r="106" spans="2:11" x14ac:dyDescent="0.2">
      <c r="B106" s="39">
        <v>1</v>
      </c>
      <c r="C106" s="42">
        <v>2</v>
      </c>
      <c r="D106" s="31">
        <v>3</v>
      </c>
    </row>
    <row r="107" spans="2:11" ht="37.5" customHeight="1" x14ac:dyDescent="0.2">
      <c r="B107" s="101" t="s">
        <v>111</v>
      </c>
      <c r="C107" s="47">
        <f>22025162185.36</f>
        <v>22025162185.360001</v>
      </c>
      <c r="D107" s="27">
        <f>11899568084.5</f>
        <v>11899568084.5</v>
      </c>
    </row>
    <row r="108" spans="2:11" ht="36" customHeight="1" x14ac:dyDescent="0.2">
      <c r="B108" s="102" t="s">
        <v>76</v>
      </c>
      <c r="C108" s="48">
        <f>348107520.42</f>
        <v>348107520.42000002</v>
      </c>
      <c r="D108" s="74">
        <f>160105375.68</f>
        <v>160105375.68000001</v>
      </c>
    </row>
    <row r="109" spans="2:11" ht="13.5" customHeight="1" x14ac:dyDescent="0.2">
      <c r="B109" s="102" t="s">
        <v>77</v>
      </c>
      <c r="C109" s="48">
        <f>7935482462.1</f>
        <v>7935482462.1000004</v>
      </c>
      <c r="D109" s="74">
        <f>4928178334.36</f>
        <v>4928178334.3599997</v>
      </c>
    </row>
    <row r="110" spans="2:11" ht="25.5" customHeight="1" x14ac:dyDescent="0.2">
      <c r="B110" s="102" t="s">
        <v>78</v>
      </c>
      <c r="C110" s="48">
        <f>0</f>
        <v>0</v>
      </c>
      <c r="D110" s="74">
        <f>0</f>
        <v>0</v>
      </c>
    </row>
    <row r="111" spans="2:11" ht="57.95" customHeight="1" x14ac:dyDescent="0.2">
      <c r="B111" s="102" t="s">
        <v>95</v>
      </c>
      <c r="C111" s="48">
        <f>3447132178.85</f>
        <v>3447132178.8499999</v>
      </c>
      <c r="D111" s="74">
        <f>1444177312.43</f>
        <v>1444177312.4300001</v>
      </c>
    </row>
    <row r="112" spans="2:11" ht="81.95" customHeight="1" x14ac:dyDescent="0.2">
      <c r="B112" s="102" t="s">
        <v>79</v>
      </c>
      <c r="C112" s="48">
        <f>6802169327.31</f>
        <v>6802169327.3100004</v>
      </c>
      <c r="D112" s="74">
        <f>3043871929.24</f>
        <v>3043871929.2399998</v>
      </c>
    </row>
    <row r="113" spans="2:4" ht="150.94999999999999" customHeight="1" x14ac:dyDescent="0.2">
      <c r="B113" s="97" t="s">
        <v>100</v>
      </c>
      <c r="C113" s="48">
        <f>3176847998.17</f>
        <v>3176847998.1700001</v>
      </c>
      <c r="D113" s="74">
        <f>2147591759.05</f>
        <v>2147591759.0500002</v>
      </c>
    </row>
    <row r="114" spans="2:4" ht="22.5" x14ac:dyDescent="0.2">
      <c r="B114" s="97" t="s">
        <v>94</v>
      </c>
      <c r="C114" s="48">
        <f>71968043.32</f>
        <v>71968043.319999993</v>
      </c>
      <c r="D114" s="74">
        <f>36047248.92</f>
        <v>36047248.920000002</v>
      </c>
    </row>
    <row r="115" spans="2:4" ht="22.5" x14ac:dyDescent="0.2">
      <c r="B115" s="97" t="s">
        <v>109</v>
      </c>
      <c r="C115" s="48">
        <f>243454655.19</f>
        <v>243454655.19</v>
      </c>
      <c r="D115" s="74">
        <f>139596124.82</f>
        <v>139596124.81999999</v>
      </c>
    </row>
    <row r="116" spans="2:4" ht="28.5" customHeight="1" x14ac:dyDescent="0.2"/>
    <row r="117" spans="2:4" x14ac:dyDescent="0.2">
      <c r="B117" s="65" t="s">
        <v>65</v>
      </c>
      <c r="C117" s="33">
        <f>4</f>
        <v>4</v>
      </c>
      <c r="D117" s="33" t="str">
        <f>IF(C117=1,"I Kwartał",IF(C117=2,"II Kwartały",IF(C117=3,"III Kwartały",IF(C117=4,"IV Kwartały",IF(C117="M1","Styczeń",IF(C117="M11","Listopad",IF(C117="M12","Grudzień","-")))))))</f>
        <v>IV Kwartały</v>
      </c>
    </row>
    <row r="118" spans="2:4" x14ac:dyDescent="0.2">
      <c r="B118" s="65" t="s">
        <v>66</v>
      </c>
      <c r="C118" s="92">
        <f>2023</f>
        <v>2023</v>
      </c>
    </row>
    <row r="119" spans="2:4" x14ac:dyDescent="0.2">
      <c r="B119" s="65" t="s">
        <v>67</v>
      </c>
      <c r="C119" s="107" t="str">
        <f>"Mar 15 2024 12:00AM"</f>
        <v>Mar 15 2024 12:00AM</v>
      </c>
      <c r="D119" s="108"/>
    </row>
    <row r="120" spans="2:4" hidden="1" x14ac:dyDescent="0.2">
      <c r="B120" s="1" t="s">
        <v>107</v>
      </c>
      <c r="C120" s="1" t="str">
        <f>""</f>
        <v/>
      </c>
    </row>
  </sheetData>
  <mergeCells count="20">
    <mergeCell ref="B3:B4"/>
    <mergeCell ref="C105:D105"/>
    <mergeCell ref="B59:B62"/>
    <mergeCell ref="C84:D84"/>
    <mergeCell ref="J4:L4"/>
    <mergeCell ref="I59:I61"/>
    <mergeCell ref="J62:K62"/>
    <mergeCell ref="C4:I4"/>
    <mergeCell ref="J84:K84"/>
    <mergeCell ref="J59:J61"/>
    <mergeCell ref="K59:K61"/>
    <mergeCell ref="C119:D119"/>
    <mergeCell ref="D59:D61"/>
    <mergeCell ref="E59:E61"/>
    <mergeCell ref="F60:F61"/>
    <mergeCell ref="F59:H59"/>
    <mergeCell ref="G60:H60"/>
    <mergeCell ref="E83:I85"/>
    <mergeCell ref="C59:C61"/>
    <mergeCell ref="C62:I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6" max="16383" man="1"/>
    <brk id="80" max="16383" man="1"/>
    <brk id="10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2024-03-27T08:38:16Z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