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95B1C7D4-4BEA-48A1-8629-333703E6AF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B93" i="7"/>
  <c r="I90" i="7"/>
  <c r="G90" i="7"/>
  <c r="I89" i="7"/>
  <c r="G89" i="7"/>
  <c r="I88" i="7"/>
  <c r="G88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3" i="7" l="1"/>
  <c r="A1" i="7" l="1"/>
  <c r="A30" i="7"/>
  <c r="A85" i="7"/>
  <c r="A66" i="7"/>
</calcChain>
</file>

<file path=xl/sharedStrings.xml><?xml version="1.0" encoding="utf-8"?>
<sst xmlns="http://schemas.openxmlformats.org/spreadsheetml/2006/main" count="97" uniqueCount="81">
  <si>
    <t>Wyszczególnienie</t>
  </si>
  <si>
    <t>sektora finansów publicznych (kol.5+7+8)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</si>
  <si>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</si>
  <si>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</si>
  <si>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</si>
  <si>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</si>
  <si>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</si>
  <si>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</si>
  <si>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</si>
  <si>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</si>
  <si>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</si>
  <si>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</si>
  <si>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</si>
  <si>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</si>
  <si>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</si>
  <si>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</si>
  <si>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</si>
  <si>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</si>
  <si>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</si>
  <si>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</si>
  <si>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</si>
  <si>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</si>
  <si>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</si>
  <si>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</si>
  <si>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</si>
  <si>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</si>
  <si>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</si>
  <si>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</si>
  <si>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</si>
  <si>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</si>
  <si>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</si>
  <si>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</si>
  <si>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</si>
  <si>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</si>
  <si>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</si>
  <si>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</si>
  <si>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</si>
  <si>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</si>
  <si>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</si>
  <si>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</si>
  <si>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</si>
  <si>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</si>
  <si>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</si>
  <si>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</si>
  <si>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</si>
  <si>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</si>
  <si>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</si>
  <si>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</si>
  <si>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</si>
  <si>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</si>
  <si>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</si>
  <si>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</si>
  <si>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</si>
  <si>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</si>
  <si>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</si>
  <si>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</si>
  <si>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</si>
  <si>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</si>
  <si>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</si>
  <si>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</si>
  <si>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</si>
  <si>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</si>
  <si>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</si>
  <si>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</si>
  <si>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</si>
  <si>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</si>
  <si>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</si>
  <si>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</si>
  <si>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</si>
  <si>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</si>
  <si>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</si>
  <si>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</si>
  <si>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wierzyciele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</si>
  <si>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</si>
  <si>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</si>
  <si>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</si>
  <si>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</si>
  <si>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</si>
  <si>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tytul</t>
  </si>
  <si>
    <t>w złotych</t>
  </si>
  <si>
    <t>E4  wymagalne zobowiązania (E4.1+E4.2)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</si>
</sst>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8" fillId="0" borderId="0" xfId="37" applyFont="1" applyAlignment="1">
      <alignment horizontal="center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27" fillId="0" borderId="17" xfId="0" applyFont="1" applyFill="1" applyBorder="1" applyAlignment="1">
      <alignment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7" xfId="0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29" fillId="19" borderId="19" xfId="37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0" fontId="28" fillId="0" borderId="0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2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30" fillId="19" borderId="10" xfId="37" applyNumberFormat="1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4" width="12.42578125" style="2" customWidth="1"/>
    <col min="5" max="6" width="11.42578125" style="2" customWidth="1"/>
    <col min="7" max="7" width="12.7109375" style="2" customWidth="1"/>
    <col min="8" max="8" width="9.7109375" style="2" customWidth="1"/>
    <col min="9" max="9" width="10.7109375" style="2" customWidth="1"/>
    <col min="10" max="10" width="14" style="2" customWidth="1"/>
    <col min="11" max="11" width="12.140625" style="2" customWidth="1"/>
    <col min="12" max="12" width="11.42578125" style="2" customWidth="1"/>
    <col min="13" max="13" width="12" style="2" customWidth="1"/>
    <col min="14" max="14" width="11.7109375" style="2" customWidth="1"/>
    <col min="15" max="15" width="11.140625" style="2" customWidth="1"/>
    <col min="16" max="16" width="12.5703125" style="2" customWidth="1"/>
    <col min="17" max="16384" width="9.140625" style="2"/>
  </cols>
  <sheetData>
    <row r="1" spans="1:17" ht="75" customHeight="1" x14ac:dyDescent="0.2">
      <c r="A1" s="30" t="str">
        <f>CONCATENATE("Informacja z wykonania budżetów miast na prawach powiatu za  ",$C$93," ",$B$94," roku     ",$B$96,"")</f>
        <v xml:space="preserve">Informacja z wykonania budżetów miast na prawach powiatu za  II Kwartały 2025 roku     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4" t="s">
        <v>64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5" spans="1:17" ht="13.5" customHeight="1" x14ac:dyDescent="0.2">
      <c r="B5" s="12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1"/>
      <c r="O5" s="11"/>
      <c r="P5" s="11"/>
      <c r="Q5" s="11"/>
    </row>
    <row r="6" spans="1:17" ht="13.5" customHeight="1" x14ac:dyDescent="0.2">
      <c r="A6" s="59" t="s">
        <v>0</v>
      </c>
      <c r="B6" s="69" t="s">
        <v>65</v>
      </c>
      <c r="C6" s="26" t="s">
        <v>69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8"/>
      <c r="O6" s="26" t="s">
        <v>68</v>
      </c>
      <c r="P6" s="27"/>
      <c r="Q6" s="28"/>
    </row>
    <row r="7" spans="1:17" ht="13.5" customHeight="1" x14ac:dyDescent="0.2">
      <c r="A7" s="60"/>
      <c r="B7" s="70"/>
      <c r="C7" s="62" t="s">
        <v>66</v>
      </c>
      <c r="D7" s="62" t="s">
        <v>1</v>
      </c>
      <c r="E7" s="62" t="s">
        <v>70</v>
      </c>
      <c r="F7" s="62" t="s">
        <v>71</v>
      </c>
      <c r="G7" s="62" t="s">
        <v>28</v>
      </c>
      <c r="H7" s="62" t="s">
        <v>29</v>
      </c>
      <c r="I7" s="71" t="s">
        <v>67</v>
      </c>
      <c r="J7" s="62" t="s">
        <v>17</v>
      </c>
      <c r="K7" s="62" t="s">
        <v>18</v>
      </c>
      <c r="L7" s="62" t="s">
        <v>19</v>
      </c>
      <c r="M7" s="62" t="s">
        <v>20</v>
      </c>
      <c r="N7" s="70" t="s">
        <v>21</v>
      </c>
      <c r="O7" s="29" t="s">
        <v>22</v>
      </c>
      <c r="P7" s="29" t="s">
        <v>23</v>
      </c>
      <c r="Q7" s="29" t="s">
        <v>24</v>
      </c>
    </row>
    <row r="8" spans="1:17" ht="13.5" customHeight="1" x14ac:dyDescent="0.2">
      <c r="A8" s="60"/>
      <c r="B8" s="70"/>
      <c r="C8" s="29"/>
      <c r="D8" s="29"/>
      <c r="E8" s="29"/>
      <c r="F8" s="29"/>
      <c r="G8" s="29"/>
      <c r="H8" s="29"/>
      <c r="I8" s="71"/>
      <c r="J8" s="29"/>
      <c r="K8" s="29"/>
      <c r="L8" s="29"/>
      <c r="M8" s="29"/>
      <c r="N8" s="70"/>
      <c r="O8" s="29"/>
      <c r="P8" s="29"/>
      <c r="Q8" s="29"/>
    </row>
    <row r="9" spans="1:17" ht="11.25" customHeight="1" x14ac:dyDescent="0.2">
      <c r="A9" s="60"/>
      <c r="B9" s="70"/>
      <c r="C9" s="29"/>
      <c r="D9" s="29"/>
      <c r="E9" s="29"/>
      <c r="F9" s="29"/>
      <c r="G9" s="29"/>
      <c r="H9" s="29"/>
      <c r="I9" s="71"/>
      <c r="J9" s="29"/>
      <c r="K9" s="29"/>
      <c r="L9" s="29"/>
      <c r="M9" s="29"/>
      <c r="N9" s="70"/>
      <c r="O9" s="29"/>
      <c r="P9" s="29"/>
      <c r="Q9" s="29"/>
    </row>
    <row r="10" spans="1:17" ht="11.25" customHeight="1" x14ac:dyDescent="0.2">
      <c r="A10" s="61"/>
      <c r="B10" s="62"/>
      <c r="C10" s="29"/>
      <c r="D10" s="29"/>
      <c r="E10" s="29"/>
      <c r="F10" s="29"/>
      <c r="G10" s="29"/>
      <c r="H10" s="29"/>
      <c r="I10" s="72"/>
      <c r="J10" s="29"/>
      <c r="K10" s="29"/>
      <c r="L10" s="29"/>
      <c r="M10" s="29"/>
      <c r="N10" s="62"/>
      <c r="O10" s="29"/>
      <c r="P10" s="29"/>
      <c r="Q10" s="29"/>
    </row>
    <row r="11" spans="1:17" ht="11.2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3" t="s">
        <v>79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3" spans="1:17" ht="38.25" customHeight="1" x14ac:dyDescent="0.2">
      <c r="A13" s="20" t="s">
        <v>47</v>
      </c>
      <c r="B13" s="21">
        <f>55126759428.68</f>
        <v>55126759428.68</v>
      </c>
      <c r="C13" s="21">
        <f>32328866088.89</f>
        <v>32328866088.889999</v>
      </c>
      <c r="D13" s="21">
        <f>659896150.52</f>
        <v>659896150.51999998</v>
      </c>
      <c r="E13" s="21">
        <f>353778456.48</f>
        <v>353778456.48000002</v>
      </c>
      <c r="F13" s="21">
        <f>175995163.66</f>
        <v>175995163.66</v>
      </c>
      <c r="G13" s="21">
        <f>130122530.38</f>
        <v>130122530.38</v>
      </c>
      <c r="H13" s="21">
        <f>0</f>
        <v>0</v>
      </c>
      <c r="I13" s="21">
        <f>0</f>
        <v>0</v>
      </c>
      <c r="J13" s="21">
        <f>29922536670.51</f>
        <v>29922536670.509998</v>
      </c>
      <c r="K13" s="21">
        <f>977675070.31</f>
        <v>977675070.30999994</v>
      </c>
      <c r="L13" s="21">
        <f>753932840.08</f>
        <v>753932840.08000004</v>
      </c>
      <c r="M13" s="21">
        <f>13322494.43</f>
        <v>13322494.43</v>
      </c>
      <c r="N13" s="21">
        <f>1502863.04</f>
        <v>1502863.04</v>
      </c>
      <c r="O13" s="21">
        <f>22797893339.79</f>
        <v>22797893339.790001</v>
      </c>
      <c r="P13" s="21">
        <f>22778353864.79</f>
        <v>22778353864.790001</v>
      </c>
      <c r="Q13" s="21">
        <f>19539475</f>
        <v>19539475</v>
      </c>
    </row>
    <row r="14" spans="1:17" ht="38.25" customHeight="1" x14ac:dyDescent="0.2">
      <c r="A14" s="20" t="s">
        <v>48</v>
      </c>
      <c r="B14" s="21">
        <f>7825194000</f>
        <v>7825194000</v>
      </c>
      <c r="C14" s="21">
        <f>7825194000</f>
        <v>7825194000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7666694000</f>
        <v>7666694000</v>
      </c>
      <c r="K14" s="21">
        <f>158500000</f>
        <v>158500000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38.25" customHeight="1" x14ac:dyDescent="0.2">
      <c r="A15" s="18" t="s">
        <v>49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38.25" customHeight="1" x14ac:dyDescent="0.2">
      <c r="A16" s="18" t="s">
        <v>50</v>
      </c>
      <c r="B16" s="22">
        <f>7825194000</f>
        <v>7825194000</v>
      </c>
      <c r="C16" s="22">
        <f>7825194000</f>
        <v>7825194000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7666694000</f>
        <v>7666694000</v>
      </c>
      <c r="K16" s="22">
        <f>158500000</f>
        <v>158500000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8.25" customHeight="1" x14ac:dyDescent="0.2">
      <c r="A17" s="20" t="s">
        <v>51</v>
      </c>
      <c r="B17" s="21">
        <f>47278456616.09</f>
        <v>47278456616.089996</v>
      </c>
      <c r="C17" s="21">
        <f>24480563276.3</f>
        <v>24480563276.299999</v>
      </c>
      <c r="D17" s="21">
        <f>653247264.36</f>
        <v>653247264.36000001</v>
      </c>
      <c r="E17" s="21">
        <f>353775049</f>
        <v>353775049</v>
      </c>
      <c r="F17" s="21">
        <f>175994612.72</f>
        <v>175994612.72</v>
      </c>
      <c r="G17" s="21">
        <f>123477602.64</f>
        <v>123477602.64</v>
      </c>
      <c r="H17" s="21">
        <f>0</f>
        <v>0</v>
      </c>
      <c r="I17" s="21">
        <f>0</f>
        <v>0</v>
      </c>
      <c r="J17" s="21">
        <f>22255842670.51</f>
        <v>22255842670.509998</v>
      </c>
      <c r="K17" s="21">
        <f>818436043.17</f>
        <v>818436043.16999996</v>
      </c>
      <c r="L17" s="21">
        <f>751507298.26</f>
        <v>751507298.25999999</v>
      </c>
      <c r="M17" s="21">
        <f>30000</f>
        <v>30000</v>
      </c>
      <c r="N17" s="21">
        <f>1500000</f>
        <v>1500000</v>
      </c>
      <c r="O17" s="21">
        <f>22797893339.79</f>
        <v>22797893339.790001</v>
      </c>
      <c r="P17" s="21">
        <f>22778353864.79</f>
        <v>22778353864.790001</v>
      </c>
      <c r="Q17" s="21">
        <f>19539475</f>
        <v>19539475</v>
      </c>
    </row>
    <row r="18" spans="1:17" ht="38.25" customHeight="1" x14ac:dyDescent="0.2">
      <c r="A18" s="18" t="s">
        <v>52</v>
      </c>
      <c r="B18" s="22">
        <f>103473695.57</f>
        <v>103473695.56999999</v>
      </c>
      <c r="C18" s="22">
        <f>103473695.57</f>
        <v>103473695.56999999</v>
      </c>
      <c r="D18" s="22">
        <f>0</f>
        <v>0</v>
      </c>
      <c r="E18" s="22">
        <f>0</f>
        <v>0</v>
      </c>
      <c r="F18" s="22">
        <f>0</f>
        <v>0</v>
      </c>
      <c r="G18" s="22">
        <f>0</f>
        <v>0</v>
      </c>
      <c r="H18" s="22">
        <f>0</f>
        <v>0</v>
      </c>
      <c r="I18" s="22">
        <f>0</f>
        <v>0</v>
      </c>
      <c r="J18" s="22">
        <f>103473695.57</f>
        <v>103473695.56999999</v>
      </c>
      <c r="K18" s="22">
        <f>0</f>
        <v>0</v>
      </c>
      <c r="L18" s="22">
        <f>0</f>
        <v>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38.25" customHeight="1" x14ac:dyDescent="0.2">
      <c r="A19" s="18" t="s">
        <v>53</v>
      </c>
      <c r="B19" s="22">
        <f>47174982920.52</f>
        <v>47174982920.519997</v>
      </c>
      <c r="C19" s="22">
        <f>24377089580.73</f>
        <v>24377089580.73</v>
      </c>
      <c r="D19" s="22">
        <f>653247264.36</f>
        <v>653247264.36000001</v>
      </c>
      <c r="E19" s="22">
        <f>353775049</f>
        <v>353775049</v>
      </c>
      <c r="F19" s="22">
        <f>175994612.72</f>
        <v>175994612.72</v>
      </c>
      <c r="G19" s="22">
        <f>123477602.64</f>
        <v>123477602.64</v>
      </c>
      <c r="H19" s="22">
        <f>0</f>
        <v>0</v>
      </c>
      <c r="I19" s="22">
        <f>0</f>
        <v>0</v>
      </c>
      <c r="J19" s="22">
        <f>22152368974.94</f>
        <v>22152368974.939999</v>
      </c>
      <c r="K19" s="22">
        <f>818436043.17</f>
        <v>818436043.16999996</v>
      </c>
      <c r="L19" s="22">
        <f>751507298.26</f>
        <v>751507298.25999999</v>
      </c>
      <c r="M19" s="22">
        <f>30000</f>
        <v>30000</v>
      </c>
      <c r="N19" s="22">
        <f>1500000</f>
        <v>1500000</v>
      </c>
      <c r="O19" s="22">
        <f>22797893339.79</f>
        <v>22797893339.790001</v>
      </c>
      <c r="P19" s="22">
        <f>22778353864.79</f>
        <v>22778353864.790001</v>
      </c>
      <c r="Q19" s="22">
        <f>19539475</f>
        <v>19539475</v>
      </c>
    </row>
    <row r="20" spans="1:17" ht="38.25" customHeight="1" x14ac:dyDescent="0.2">
      <c r="A20" s="20" t="s">
        <v>54</v>
      </c>
      <c r="B20" s="21">
        <f>0</f>
        <v>0</v>
      </c>
      <c r="C20" s="21">
        <f>0</f>
        <v>0</v>
      </c>
      <c r="D20" s="21">
        <f>0</f>
        <v>0</v>
      </c>
      <c r="E20" s="21">
        <f>0</f>
        <v>0</v>
      </c>
      <c r="F20" s="21">
        <f>0</f>
        <v>0</v>
      </c>
      <c r="G20" s="21">
        <f>0</f>
        <v>0</v>
      </c>
      <c r="H20" s="21">
        <f>0</f>
        <v>0</v>
      </c>
      <c r="I20" s="21">
        <f>0</f>
        <v>0</v>
      </c>
      <c r="J20" s="21">
        <f>0</f>
        <v>0</v>
      </c>
      <c r="K20" s="21">
        <f>0</f>
        <v>0</v>
      </c>
      <c r="L20" s="21">
        <f>0</f>
        <v>0</v>
      </c>
      <c r="M20" s="21">
        <f>0</f>
        <v>0</v>
      </c>
      <c r="N20" s="21">
        <f>0</f>
        <v>0</v>
      </c>
      <c r="O20" s="21">
        <f>0</f>
        <v>0</v>
      </c>
      <c r="P20" s="21">
        <f>0</f>
        <v>0</v>
      </c>
      <c r="Q20" s="21">
        <f>0</f>
        <v>0</v>
      </c>
    </row>
    <row r="21" spans="1:17" ht="38.25" customHeight="1" x14ac:dyDescent="0.2">
      <c r="A21" s="20" t="s">
        <v>80</v>
      </c>
      <c r="B21" s="21">
        <f>23108812.59</f>
        <v>23108812.59</v>
      </c>
      <c r="C21" s="21">
        <f>23108812.59</f>
        <v>23108812.59</v>
      </c>
      <c r="D21" s="21">
        <f>6648886.16</f>
        <v>6648886.1600000001</v>
      </c>
      <c r="E21" s="21">
        <f>3407.48</f>
        <v>3407.48</v>
      </c>
      <c r="F21" s="21">
        <f>550.94</f>
        <v>550.94000000000005</v>
      </c>
      <c r="G21" s="21">
        <f>6644927.74</f>
        <v>6644927.7400000002</v>
      </c>
      <c r="H21" s="21">
        <f>0</f>
        <v>0</v>
      </c>
      <c r="I21" s="21">
        <f>0</f>
        <v>0</v>
      </c>
      <c r="J21" s="21">
        <f>0</f>
        <v>0</v>
      </c>
      <c r="K21" s="21">
        <f>739027.14</f>
        <v>739027.14</v>
      </c>
      <c r="L21" s="21">
        <f>2425541.82</f>
        <v>2425541.8199999998</v>
      </c>
      <c r="M21" s="21">
        <f>13292494.43</f>
        <v>13292494.43</v>
      </c>
      <c r="N21" s="21">
        <f>2863.04</f>
        <v>2863.04</v>
      </c>
      <c r="O21" s="21">
        <f>0</f>
        <v>0</v>
      </c>
      <c r="P21" s="21">
        <f>0</f>
        <v>0</v>
      </c>
      <c r="Q21" s="21">
        <f>0</f>
        <v>0</v>
      </c>
    </row>
    <row r="22" spans="1:17" ht="38.25" customHeight="1" x14ac:dyDescent="0.2">
      <c r="A22" s="18" t="s">
        <v>55</v>
      </c>
      <c r="B22" s="22">
        <f>13468096.26</f>
        <v>13468096.26</v>
      </c>
      <c r="C22" s="22">
        <f>13468096.26</f>
        <v>13468096.26</v>
      </c>
      <c r="D22" s="22">
        <f>148959.03</f>
        <v>148959.03</v>
      </c>
      <c r="E22" s="22">
        <f>1505.48</f>
        <v>1505.48</v>
      </c>
      <c r="F22" s="22">
        <f>0</f>
        <v>0</v>
      </c>
      <c r="G22" s="22">
        <f>147453.55</f>
        <v>147453.54999999999</v>
      </c>
      <c r="H22" s="22">
        <f>0</f>
        <v>0</v>
      </c>
      <c r="I22" s="22">
        <f>0</f>
        <v>0</v>
      </c>
      <c r="J22" s="22">
        <f>0</f>
        <v>0</v>
      </c>
      <c r="K22" s="22">
        <f>738499.14</f>
        <v>738499.14</v>
      </c>
      <c r="L22" s="22">
        <f>1207558.83</f>
        <v>1207558.83</v>
      </c>
      <c r="M22" s="22">
        <f>11370599.26</f>
        <v>11370599.26</v>
      </c>
      <c r="N22" s="22">
        <f>2480</f>
        <v>2480</v>
      </c>
      <c r="O22" s="22">
        <f>0</f>
        <v>0</v>
      </c>
      <c r="P22" s="22">
        <f>0</f>
        <v>0</v>
      </c>
      <c r="Q22" s="22">
        <f>0</f>
        <v>0</v>
      </c>
    </row>
    <row r="23" spans="1:17" ht="38.25" customHeight="1" x14ac:dyDescent="0.2">
      <c r="A23" s="18" t="s">
        <v>56</v>
      </c>
      <c r="B23" s="22">
        <f>9640716.33</f>
        <v>9640716.3300000001</v>
      </c>
      <c r="C23" s="22">
        <f>9640716.33</f>
        <v>9640716.3300000001</v>
      </c>
      <c r="D23" s="22">
        <f>6499927.13</f>
        <v>6499927.1299999999</v>
      </c>
      <c r="E23" s="22">
        <f>1902</f>
        <v>1902</v>
      </c>
      <c r="F23" s="22">
        <f>550.94</f>
        <v>550.94000000000005</v>
      </c>
      <c r="G23" s="22">
        <f>6497474.19</f>
        <v>6497474.1900000004</v>
      </c>
      <c r="H23" s="22">
        <f>0</f>
        <v>0</v>
      </c>
      <c r="I23" s="22">
        <f>0</f>
        <v>0</v>
      </c>
      <c r="J23" s="22">
        <f>0</f>
        <v>0</v>
      </c>
      <c r="K23" s="22">
        <f>528</f>
        <v>528</v>
      </c>
      <c r="L23" s="22">
        <f>1217982.99</f>
        <v>1217982.99</v>
      </c>
      <c r="M23" s="22">
        <f>1921895.17</f>
        <v>1921895.17</v>
      </c>
      <c r="N23" s="22">
        <f>383.04</f>
        <v>383.04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 ht="19.5" customHeight="1" x14ac:dyDescent="0.2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ht="19.5" customHeight="1" x14ac:dyDescent="0.2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 ht="19.5" customHeight="1" x14ac:dyDescent="0.2">
      <c r="A27" s="16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 ht="19.5" customHeigh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 ht="19.5" customHeight="1" x14ac:dyDescent="0.2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ht="45.75" customHeight="1" x14ac:dyDescent="0.2">
      <c r="A30" s="30" t="str">
        <f>CONCATENATE("Informacja z wykonania budżetów miast na prawach powiatu za  ",$C$93," ",$B$94," roku     ",$B$96,"")</f>
        <v xml:space="preserve">Informacja z wykonania budżetów miast na prawach powiatu za  II Kwartały 2025 roku     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2" spans="1:17" ht="13.5" customHeight="1" x14ac:dyDescent="0.2">
      <c r="A32" s="44" t="s">
        <v>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4" spans="1:17" ht="13.5" customHeight="1" x14ac:dyDescent="0.2">
      <c r="A34" s="59" t="s">
        <v>0</v>
      </c>
      <c r="B34" s="69" t="s">
        <v>13</v>
      </c>
      <c r="C34" s="73" t="s">
        <v>15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73" t="s">
        <v>25</v>
      </c>
      <c r="P34" s="74"/>
      <c r="Q34" s="75"/>
    </row>
    <row r="35" spans="1:17" ht="13.5" customHeight="1" x14ac:dyDescent="0.2">
      <c r="A35" s="60"/>
      <c r="B35" s="70"/>
      <c r="C35" s="70" t="s">
        <v>14</v>
      </c>
      <c r="D35" s="29" t="s">
        <v>16</v>
      </c>
      <c r="E35" s="29" t="s">
        <v>26</v>
      </c>
      <c r="F35" s="29" t="s">
        <v>27</v>
      </c>
      <c r="G35" s="29" t="s">
        <v>75</v>
      </c>
      <c r="H35" s="29" t="s">
        <v>29</v>
      </c>
      <c r="I35" s="29" t="s">
        <v>2</v>
      </c>
      <c r="J35" s="29" t="s">
        <v>17</v>
      </c>
      <c r="K35" s="29" t="s">
        <v>18</v>
      </c>
      <c r="L35" s="29" t="s">
        <v>19</v>
      </c>
      <c r="M35" s="29" t="s">
        <v>20</v>
      </c>
      <c r="N35" s="76" t="s">
        <v>21</v>
      </c>
      <c r="O35" s="29" t="s">
        <v>22</v>
      </c>
      <c r="P35" s="29" t="s">
        <v>23</v>
      </c>
      <c r="Q35" s="69" t="s">
        <v>24</v>
      </c>
    </row>
    <row r="36" spans="1:17" ht="11.25" customHeight="1" x14ac:dyDescent="0.2">
      <c r="A36" s="60"/>
      <c r="B36" s="70"/>
      <c r="C36" s="7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76"/>
      <c r="O36" s="29"/>
      <c r="P36" s="29"/>
      <c r="Q36" s="70"/>
    </row>
    <row r="37" spans="1:17" ht="24.75" customHeight="1" x14ac:dyDescent="0.2">
      <c r="A37" s="61"/>
      <c r="B37" s="62"/>
      <c r="C37" s="62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76"/>
      <c r="O37" s="29"/>
      <c r="P37" s="29"/>
      <c r="Q37" s="62"/>
    </row>
    <row r="38" spans="1:17" ht="13.5" customHeight="1" x14ac:dyDescent="0.2">
      <c r="A38" s="14">
        <v>1</v>
      </c>
      <c r="B38" s="14">
        <v>2</v>
      </c>
      <c r="C38" s="14">
        <v>3</v>
      </c>
      <c r="D38" s="14">
        <v>4</v>
      </c>
      <c r="E38" s="14">
        <v>5</v>
      </c>
      <c r="F38" s="14">
        <v>6</v>
      </c>
      <c r="G38" s="14">
        <v>7</v>
      </c>
      <c r="H38" s="14">
        <v>8</v>
      </c>
      <c r="I38" s="14">
        <v>9</v>
      </c>
      <c r="J38" s="14">
        <v>10</v>
      </c>
      <c r="K38" s="14">
        <v>11</v>
      </c>
      <c r="L38" s="14">
        <v>12</v>
      </c>
      <c r="M38" s="14">
        <v>13</v>
      </c>
      <c r="N38" s="14">
        <v>14</v>
      </c>
      <c r="O38" s="14">
        <v>15</v>
      </c>
      <c r="P38" s="14">
        <v>16</v>
      </c>
      <c r="Q38" s="14">
        <v>17</v>
      </c>
    </row>
    <row r="39" spans="1:17" ht="12.75" customHeight="1" x14ac:dyDescent="0.2">
      <c r="A39" s="13"/>
      <c r="B39" s="36" t="s">
        <v>79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26.25" customHeight="1" x14ac:dyDescent="0.2">
      <c r="A40" s="25" t="s">
        <v>42</v>
      </c>
      <c r="B40" s="23">
        <f>79433.6</f>
        <v>79433.600000000006</v>
      </c>
      <c r="C40" s="23">
        <f>79433.6</f>
        <v>79433.600000000006</v>
      </c>
      <c r="D40" s="23">
        <f>0</f>
        <v>0</v>
      </c>
      <c r="E40" s="23">
        <f>0</f>
        <v>0</v>
      </c>
      <c r="F40" s="23">
        <f>0</f>
        <v>0</v>
      </c>
      <c r="G40" s="23">
        <f>0</f>
        <v>0</v>
      </c>
      <c r="H40" s="23">
        <f>0</f>
        <v>0</v>
      </c>
      <c r="I40" s="23">
        <f>0</f>
        <v>0</v>
      </c>
      <c r="J40" s="23">
        <f>0</f>
        <v>0</v>
      </c>
      <c r="K40" s="23">
        <f>0</f>
        <v>0</v>
      </c>
      <c r="L40" s="23">
        <f>79433.6</f>
        <v>79433.600000000006</v>
      </c>
      <c r="M40" s="23">
        <f>0</f>
        <v>0</v>
      </c>
      <c r="N40" s="23">
        <f>0</f>
        <v>0</v>
      </c>
      <c r="O40" s="23">
        <f>0</f>
        <v>0</v>
      </c>
      <c r="P40" s="23">
        <f>0</f>
        <v>0</v>
      </c>
      <c r="Q40" s="23">
        <f>0</f>
        <v>0</v>
      </c>
    </row>
    <row r="41" spans="1:17" ht="26.25" customHeight="1" x14ac:dyDescent="0.2">
      <c r="A41" s="19" t="s">
        <v>30</v>
      </c>
      <c r="B41" s="24">
        <f>0</f>
        <v>0</v>
      </c>
      <c r="C41" s="24">
        <f>0</f>
        <v>0</v>
      </c>
      <c r="D41" s="24">
        <f>0</f>
        <v>0</v>
      </c>
      <c r="E41" s="24">
        <f>0</f>
        <v>0</v>
      </c>
      <c r="F41" s="24">
        <f>0</f>
        <v>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0</f>
        <v>0</v>
      </c>
      <c r="M41" s="24">
        <f>0</f>
        <v>0</v>
      </c>
      <c r="N41" s="24">
        <f>0</f>
        <v>0</v>
      </c>
      <c r="O41" s="24">
        <f>0</f>
        <v>0</v>
      </c>
      <c r="P41" s="24">
        <f>0</f>
        <v>0</v>
      </c>
      <c r="Q41" s="24">
        <f>0</f>
        <v>0</v>
      </c>
    </row>
    <row r="42" spans="1:17" ht="26.25" customHeight="1" x14ac:dyDescent="0.2">
      <c r="A42" s="19" t="s">
        <v>31</v>
      </c>
      <c r="B42" s="24">
        <f>79433.6</f>
        <v>79433.600000000006</v>
      </c>
      <c r="C42" s="24">
        <f>79433.6</f>
        <v>79433.600000000006</v>
      </c>
      <c r="D42" s="24">
        <f>0</f>
        <v>0</v>
      </c>
      <c r="E42" s="24">
        <f>0</f>
        <v>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79433.6</f>
        <v>79433.600000000006</v>
      </c>
      <c r="M42" s="24">
        <f>0</f>
        <v>0</v>
      </c>
      <c r="N42" s="24">
        <f>0</f>
        <v>0</v>
      </c>
      <c r="O42" s="24">
        <f>0</f>
        <v>0</v>
      </c>
      <c r="P42" s="24">
        <f>0</f>
        <v>0</v>
      </c>
      <c r="Q42" s="24">
        <f>0</f>
        <v>0</v>
      </c>
    </row>
    <row r="43" spans="1:17" ht="26.25" customHeight="1" x14ac:dyDescent="0.2">
      <c r="A43" s="25" t="s">
        <v>43</v>
      </c>
      <c r="B43" s="23">
        <f>355103375.4</f>
        <v>355103375.39999998</v>
      </c>
      <c r="C43" s="23">
        <f>355103375.4</f>
        <v>355103375.39999998</v>
      </c>
      <c r="D43" s="23">
        <f>138840055.37</f>
        <v>138840055.37</v>
      </c>
      <c r="E43" s="23">
        <f>86760</f>
        <v>86760</v>
      </c>
      <c r="F43" s="23">
        <f>0</f>
        <v>0</v>
      </c>
      <c r="G43" s="23">
        <f>138753295.37</f>
        <v>138753295.37</v>
      </c>
      <c r="H43" s="23">
        <f>0</f>
        <v>0</v>
      </c>
      <c r="I43" s="23">
        <f>0</f>
        <v>0</v>
      </c>
      <c r="J43" s="23">
        <f>27112</f>
        <v>27112</v>
      </c>
      <c r="K43" s="23">
        <f>0</f>
        <v>0</v>
      </c>
      <c r="L43" s="23">
        <f>131804494.5</f>
        <v>131804494.5</v>
      </c>
      <c r="M43" s="23">
        <f>69285281.62</f>
        <v>69285281.620000005</v>
      </c>
      <c r="N43" s="23">
        <f>15146431.91</f>
        <v>15146431.91</v>
      </c>
      <c r="O43" s="23">
        <f>0</f>
        <v>0</v>
      </c>
      <c r="P43" s="23">
        <f>0</f>
        <v>0</v>
      </c>
      <c r="Q43" s="23">
        <f>0</f>
        <v>0</v>
      </c>
    </row>
    <row r="44" spans="1:17" ht="26.25" customHeight="1" x14ac:dyDescent="0.2">
      <c r="A44" s="19" t="s">
        <v>32</v>
      </c>
      <c r="B44" s="24">
        <f>47498179.61</f>
        <v>47498179.609999999</v>
      </c>
      <c r="C44" s="24">
        <f>47498179.61</f>
        <v>47498179.609999999</v>
      </c>
      <c r="D44" s="24">
        <f>8633315.63</f>
        <v>8633315.6300000008</v>
      </c>
      <c r="E44" s="24">
        <f>28880</f>
        <v>28880</v>
      </c>
      <c r="F44" s="24">
        <f>0</f>
        <v>0</v>
      </c>
      <c r="G44" s="24">
        <f>8604435.63</f>
        <v>8604435.6300000008</v>
      </c>
      <c r="H44" s="24">
        <f>0</f>
        <v>0</v>
      </c>
      <c r="I44" s="24">
        <f>0</f>
        <v>0</v>
      </c>
      <c r="J44" s="24">
        <f>0</f>
        <v>0</v>
      </c>
      <c r="K44" s="24">
        <f>0</f>
        <v>0</v>
      </c>
      <c r="L44" s="24">
        <f>17420994.55</f>
        <v>17420994.550000001</v>
      </c>
      <c r="M44" s="24">
        <f>19770783.66</f>
        <v>19770783.66</v>
      </c>
      <c r="N44" s="24">
        <f>1673085.77</f>
        <v>1673085.77</v>
      </c>
      <c r="O44" s="24">
        <f>0</f>
        <v>0</v>
      </c>
      <c r="P44" s="24">
        <f>0</f>
        <v>0</v>
      </c>
      <c r="Q44" s="24">
        <f>0</f>
        <v>0</v>
      </c>
    </row>
    <row r="45" spans="1:17" ht="26.25" customHeight="1" x14ac:dyDescent="0.2">
      <c r="A45" s="19" t="s">
        <v>33</v>
      </c>
      <c r="B45" s="24">
        <f>307605195.79</f>
        <v>307605195.79000002</v>
      </c>
      <c r="C45" s="24">
        <f>307605195.79</f>
        <v>307605195.79000002</v>
      </c>
      <c r="D45" s="24">
        <f>130206739.74</f>
        <v>130206739.73999999</v>
      </c>
      <c r="E45" s="24">
        <f>57880</f>
        <v>57880</v>
      </c>
      <c r="F45" s="24">
        <f>0</f>
        <v>0</v>
      </c>
      <c r="G45" s="24">
        <f>130148859.74</f>
        <v>130148859.73999999</v>
      </c>
      <c r="H45" s="24">
        <f>0</f>
        <v>0</v>
      </c>
      <c r="I45" s="24">
        <f>0</f>
        <v>0</v>
      </c>
      <c r="J45" s="24">
        <f>27112</f>
        <v>27112</v>
      </c>
      <c r="K45" s="24">
        <f>0</f>
        <v>0</v>
      </c>
      <c r="L45" s="24">
        <f>114383499.95</f>
        <v>114383499.95</v>
      </c>
      <c r="M45" s="24">
        <f>49514497.96</f>
        <v>49514497.960000001</v>
      </c>
      <c r="N45" s="24">
        <f>13473346.14</f>
        <v>13473346.140000001</v>
      </c>
      <c r="O45" s="24">
        <f>0</f>
        <v>0</v>
      </c>
      <c r="P45" s="24">
        <f>0</f>
        <v>0</v>
      </c>
      <c r="Q45" s="24">
        <f>0</f>
        <v>0</v>
      </c>
    </row>
    <row r="46" spans="1:17" ht="26.25" customHeight="1" x14ac:dyDescent="0.2">
      <c r="A46" s="25" t="s">
        <v>44</v>
      </c>
      <c r="B46" s="23">
        <f>17953463743.46</f>
        <v>17953463743.459999</v>
      </c>
      <c r="C46" s="23">
        <f>17953463743.46</f>
        <v>17953463743.459999</v>
      </c>
      <c r="D46" s="23">
        <f>11832120.79</f>
        <v>11832120.789999999</v>
      </c>
      <c r="E46" s="23">
        <f>106406.3</f>
        <v>106406.3</v>
      </c>
      <c r="F46" s="23">
        <f>25779.68</f>
        <v>25779.68</v>
      </c>
      <c r="G46" s="23">
        <f>11699934.81</f>
        <v>11699934.810000001</v>
      </c>
      <c r="H46" s="23">
        <f>0</f>
        <v>0</v>
      </c>
      <c r="I46" s="23">
        <f>4975179.08</f>
        <v>4975179.08</v>
      </c>
      <c r="J46" s="23">
        <f>17924316442.04</f>
        <v>17924316442.040001</v>
      </c>
      <c r="K46" s="23">
        <f>92961.23</f>
        <v>92961.23</v>
      </c>
      <c r="L46" s="23">
        <f>12204635.75</f>
        <v>12204635.75</v>
      </c>
      <c r="M46" s="23">
        <f>41755.66</f>
        <v>41755.660000000003</v>
      </c>
      <c r="N46" s="23">
        <f>648.91</f>
        <v>648.91</v>
      </c>
      <c r="O46" s="23">
        <f>0</f>
        <v>0</v>
      </c>
      <c r="P46" s="23">
        <f>0</f>
        <v>0</v>
      </c>
      <c r="Q46" s="23">
        <f>0</f>
        <v>0</v>
      </c>
    </row>
    <row r="47" spans="1:17" ht="26.25" customHeight="1" x14ac:dyDescent="0.2">
      <c r="A47" s="19" t="s">
        <v>34</v>
      </c>
      <c r="B47" s="24">
        <f>7650723.76</f>
        <v>7650723.7599999998</v>
      </c>
      <c r="C47" s="24">
        <f>7650723.76</f>
        <v>7650723.7599999998</v>
      </c>
      <c r="D47" s="24">
        <f>7650723.76</f>
        <v>7650723.7599999998</v>
      </c>
      <c r="E47" s="24">
        <f>0</f>
        <v>0</v>
      </c>
      <c r="F47" s="24">
        <f>0</f>
        <v>0</v>
      </c>
      <c r="G47" s="24">
        <f>7650723.76</f>
        <v>7650723.7599999998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6.25" customHeight="1" x14ac:dyDescent="0.2">
      <c r="A48" s="19" t="s">
        <v>35</v>
      </c>
      <c r="B48" s="24">
        <f>8139701119.39</f>
        <v>8139701119.3900003</v>
      </c>
      <c r="C48" s="24">
        <f>8139701119.39</f>
        <v>8139701119.3900003</v>
      </c>
      <c r="D48" s="24">
        <f>3928957.39</f>
        <v>3928957.39</v>
      </c>
      <c r="E48" s="24">
        <f>18664</f>
        <v>18664</v>
      </c>
      <c r="F48" s="24">
        <f>0</f>
        <v>0</v>
      </c>
      <c r="G48" s="24">
        <f>3910293.39</f>
        <v>3910293.39</v>
      </c>
      <c r="H48" s="24">
        <f>0</f>
        <v>0</v>
      </c>
      <c r="I48" s="24">
        <f>4891394.55</f>
        <v>4891394.55</v>
      </c>
      <c r="J48" s="24">
        <f>8129981824.44</f>
        <v>8129981824.4399996</v>
      </c>
      <c r="K48" s="24">
        <f>92961.23</f>
        <v>92961.23</v>
      </c>
      <c r="L48" s="24">
        <f>805981.78</f>
        <v>805981.78</v>
      </c>
      <c r="M48" s="24">
        <f>0</f>
        <v>0</v>
      </c>
      <c r="N48" s="24">
        <f>0</f>
        <v>0</v>
      </c>
      <c r="O48" s="24">
        <f>0</f>
        <v>0</v>
      </c>
      <c r="P48" s="24">
        <f>0</f>
        <v>0</v>
      </c>
      <c r="Q48" s="24">
        <f>0</f>
        <v>0</v>
      </c>
    </row>
    <row r="49" spans="1:17" ht="26.25" customHeight="1" x14ac:dyDescent="0.2">
      <c r="A49" s="19" t="s">
        <v>36</v>
      </c>
      <c r="B49" s="24">
        <f>9806111900.31</f>
        <v>9806111900.3099995</v>
      </c>
      <c r="C49" s="24">
        <f>9806111900.31</f>
        <v>9806111900.3099995</v>
      </c>
      <c r="D49" s="24">
        <f>252439.64</f>
        <v>252439.64</v>
      </c>
      <c r="E49" s="24">
        <f>87742.3</f>
        <v>87742.3</v>
      </c>
      <c r="F49" s="24">
        <f>25779.68</f>
        <v>25779.68</v>
      </c>
      <c r="G49" s="24">
        <f>138917.66</f>
        <v>138917.66</v>
      </c>
      <c r="H49" s="24">
        <f>0</f>
        <v>0</v>
      </c>
      <c r="I49" s="24">
        <f>83784.53</f>
        <v>83784.53</v>
      </c>
      <c r="J49" s="24">
        <f>9794334617.6</f>
        <v>9794334617.6000004</v>
      </c>
      <c r="K49" s="24">
        <f>0</f>
        <v>0</v>
      </c>
      <c r="L49" s="24">
        <f>11398653.97</f>
        <v>11398653.970000001</v>
      </c>
      <c r="M49" s="24">
        <f>41755.66</f>
        <v>41755.660000000003</v>
      </c>
      <c r="N49" s="24">
        <f>648.91</f>
        <v>648.91</v>
      </c>
      <c r="O49" s="24">
        <f>0</f>
        <v>0</v>
      </c>
      <c r="P49" s="24">
        <f>0</f>
        <v>0</v>
      </c>
      <c r="Q49" s="24">
        <f>0</f>
        <v>0</v>
      </c>
    </row>
    <row r="50" spans="1:17" ht="26.25" customHeight="1" x14ac:dyDescent="0.2">
      <c r="A50" s="25" t="s">
        <v>45</v>
      </c>
      <c r="B50" s="23">
        <f>13341368726.49</f>
        <v>13341368726.49</v>
      </c>
      <c r="C50" s="23">
        <f>13311847101.02</f>
        <v>13311847101.02</v>
      </c>
      <c r="D50" s="23">
        <f>329307548.7</f>
        <v>329307548.69999999</v>
      </c>
      <c r="E50" s="23">
        <f>65698412.69</f>
        <v>65698412.689999998</v>
      </c>
      <c r="F50" s="23">
        <f>7551036.31</f>
        <v>7551036.3099999996</v>
      </c>
      <c r="G50" s="23">
        <f>255127450.06</f>
        <v>255127450.06</v>
      </c>
      <c r="H50" s="23">
        <f>930649.64</f>
        <v>930649.64</v>
      </c>
      <c r="I50" s="23">
        <f>53020</f>
        <v>53020</v>
      </c>
      <c r="J50" s="23">
        <f>313593.84</f>
        <v>313593.84000000003</v>
      </c>
      <c r="K50" s="23">
        <f>10820415.58</f>
        <v>10820415.58</v>
      </c>
      <c r="L50" s="23">
        <f>2914568669.54</f>
        <v>2914568669.54</v>
      </c>
      <c r="M50" s="23">
        <f>9954509000.46</f>
        <v>9954509000.4599991</v>
      </c>
      <c r="N50" s="23">
        <f>102274852.9</f>
        <v>102274852.90000001</v>
      </c>
      <c r="O50" s="23">
        <f>29521625.47</f>
        <v>29521625.469999999</v>
      </c>
      <c r="P50" s="23">
        <f>12876833.73</f>
        <v>12876833.73</v>
      </c>
      <c r="Q50" s="23">
        <f>16644791.74</f>
        <v>16644791.74</v>
      </c>
    </row>
    <row r="51" spans="1:17" ht="26.25" customHeight="1" x14ac:dyDescent="0.2">
      <c r="A51" s="19" t="s">
        <v>37</v>
      </c>
      <c r="B51" s="24">
        <f>5394624224.44</f>
        <v>5394624224.4399996</v>
      </c>
      <c r="C51" s="24">
        <f>5389591926.53</f>
        <v>5389591926.5299997</v>
      </c>
      <c r="D51" s="24">
        <f>69361430.59</f>
        <v>69361430.590000004</v>
      </c>
      <c r="E51" s="24">
        <f>1321144.61</f>
        <v>1321144.6100000001</v>
      </c>
      <c r="F51" s="24">
        <f>3511365.3</f>
        <v>3511365.3</v>
      </c>
      <c r="G51" s="24">
        <f>64093124.15</f>
        <v>64093124.149999999</v>
      </c>
      <c r="H51" s="24">
        <f>435796.53</f>
        <v>435796.53</v>
      </c>
      <c r="I51" s="24">
        <f>0</f>
        <v>0</v>
      </c>
      <c r="J51" s="24">
        <f>95231.82</f>
        <v>95231.82</v>
      </c>
      <c r="K51" s="24">
        <f>895544.58</f>
        <v>895544.58</v>
      </c>
      <c r="L51" s="24">
        <f>741078381.09</f>
        <v>741078381.09000003</v>
      </c>
      <c r="M51" s="24">
        <f>4528170607.92</f>
        <v>4528170607.9200001</v>
      </c>
      <c r="N51" s="24">
        <f>49990730.53</f>
        <v>49990730.530000001</v>
      </c>
      <c r="O51" s="24">
        <f>5032297.91</f>
        <v>5032297.91</v>
      </c>
      <c r="P51" s="24">
        <f>687945.81</f>
        <v>687945.81</v>
      </c>
      <c r="Q51" s="24">
        <f>4344352.1</f>
        <v>4344352.0999999996</v>
      </c>
    </row>
    <row r="52" spans="1:17" ht="26.25" customHeight="1" x14ac:dyDescent="0.2">
      <c r="A52" s="19" t="s">
        <v>38</v>
      </c>
      <c r="B52" s="24">
        <f>7946744502.05</f>
        <v>7946744502.0500002</v>
      </c>
      <c r="C52" s="24">
        <f>7922255174.49</f>
        <v>7922255174.4899998</v>
      </c>
      <c r="D52" s="24">
        <f>259946118.11</f>
        <v>259946118.11000001</v>
      </c>
      <c r="E52" s="24">
        <f>64377268.08</f>
        <v>64377268.079999998</v>
      </c>
      <c r="F52" s="24">
        <f>4039671.01</f>
        <v>4039671.01</v>
      </c>
      <c r="G52" s="24">
        <f>191034325.91</f>
        <v>191034325.91</v>
      </c>
      <c r="H52" s="24">
        <f>494853.11</f>
        <v>494853.11</v>
      </c>
      <c r="I52" s="24">
        <f>53020</f>
        <v>53020</v>
      </c>
      <c r="J52" s="24">
        <f>218362.02</f>
        <v>218362.02</v>
      </c>
      <c r="K52" s="24">
        <f>9924871</f>
        <v>9924871</v>
      </c>
      <c r="L52" s="24">
        <f>2173490288.45</f>
        <v>2173490288.4499998</v>
      </c>
      <c r="M52" s="24">
        <f>5426338392.54</f>
        <v>5426338392.54</v>
      </c>
      <c r="N52" s="24">
        <f>52284122.37</f>
        <v>52284122.369999997</v>
      </c>
      <c r="O52" s="24">
        <f>24489327.56</f>
        <v>24489327.559999999</v>
      </c>
      <c r="P52" s="24">
        <f>12188887.92</f>
        <v>12188887.92</v>
      </c>
      <c r="Q52" s="24">
        <f>12300439.64</f>
        <v>12300439.640000001</v>
      </c>
    </row>
    <row r="53" spans="1:17" ht="26.25" customHeight="1" x14ac:dyDescent="0.2">
      <c r="A53" s="25" t="s">
        <v>46</v>
      </c>
      <c r="B53" s="23">
        <f>11582838562.97</f>
        <v>11582838562.969999</v>
      </c>
      <c r="C53" s="23">
        <f>11561677623.09</f>
        <v>11561677623.09</v>
      </c>
      <c r="D53" s="23">
        <f>833830269.03</f>
        <v>833830269.02999997</v>
      </c>
      <c r="E53" s="23">
        <f>323724834.1</f>
        <v>323724834.10000002</v>
      </c>
      <c r="F53" s="23">
        <f>80196529.47</f>
        <v>80196529.469999999</v>
      </c>
      <c r="G53" s="23">
        <f>413801883.44</f>
        <v>413801883.44</v>
      </c>
      <c r="H53" s="23">
        <f>16107022.02</f>
        <v>16107022.02</v>
      </c>
      <c r="I53" s="23">
        <f>3089386.11</f>
        <v>3089386.11</v>
      </c>
      <c r="J53" s="23">
        <f>23797583.91</f>
        <v>23797583.91</v>
      </c>
      <c r="K53" s="23">
        <f>65226453.91</f>
        <v>65226453.909999996</v>
      </c>
      <c r="L53" s="23">
        <f>7604343369.33</f>
        <v>7604343369.3299999</v>
      </c>
      <c r="M53" s="23">
        <f>2754922544.1</f>
        <v>2754922544.0999999</v>
      </c>
      <c r="N53" s="23">
        <f>276468016.7</f>
        <v>276468016.69999999</v>
      </c>
      <c r="O53" s="23">
        <f>21160939.88</f>
        <v>21160939.879999999</v>
      </c>
      <c r="P53" s="23">
        <f>18157102.76</f>
        <v>18157102.760000002</v>
      </c>
      <c r="Q53" s="23">
        <f>3003837.12</f>
        <v>3003837.12</v>
      </c>
    </row>
    <row r="54" spans="1:17" ht="26.25" customHeight="1" x14ac:dyDescent="0.2">
      <c r="A54" s="19" t="s">
        <v>39</v>
      </c>
      <c r="B54" s="24">
        <f>876679213.64</f>
        <v>876679213.63999999</v>
      </c>
      <c r="C54" s="24">
        <f>876401463.75</f>
        <v>876401463.75</v>
      </c>
      <c r="D54" s="24">
        <f>75175952.22</f>
        <v>75175952.219999999</v>
      </c>
      <c r="E54" s="24">
        <f>19390712.63</f>
        <v>19390712.629999999</v>
      </c>
      <c r="F54" s="24">
        <f>613891.49</f>
        <v>613891.49</v>
      </c>
      <c r="G54" s="24">
        <f>47264248.95</f>
        <v>47264248.950000003</v>
      </c>
      <c r="H54" s="24">
        <f>7907099.15</f>
        <v>7907099.1500000004</v>
      </c>
      <c r="I54" s="24">
        <f>0</f>
        <v>0</v>
      </c>
      <c r="J54" s="24">
        <f>406213.51</f>
        <v>406213.51</v>
      </c>
      <c r="K54" s="24">
        <f>503625.5</f>
        <v>503625.5</v>
      </c>
      <c r="L54" s="24">
        <f>353858062.91</f>
        <v>353858062.91000003</v>
      </c>
      <c r="M54" s="24">
        <f>434859760.71</f>
        <v>434859760.70999998</v>
      </c>
      <c r="N54" s="24">
        <f>11597848.9</f>
        <v>11597848.9</v>
      </c>
      <c r="O54" s="24">
        <f>277749.89</f>
        <v>277749.89</v>
      </c>
      <c r="P54" s="24">
        <f>264874.16</f>
        <v>264874.15999999997</v>
      </c>
      <c r="Q54" s="24">
        <f>12875.73</f>
        <v>12875.73</v>
      </c>
    </row>
    <row r="55" spans="1:17" ht="36.75" customHeight="1" x14ac:dyDescent="0.2">
      <c r="A55" s="19" t="s">
        <v>40</v>
      </c>
      <c r="B55" s="24">
        <f>6991571380.35</f>
        <v>6991571380.3500004</v>
      </c>
      <c r="C55" s="24">
        <f>6973771739.65</f>
        <v>6973771739.6499996</v>
      </c>
      <c r="D55" s="24">
        <f>387242689.34</f>
        <v>387242689.33999997</v>
      </c>
      <c r="E55" s="24">
        <f>91348829.53</f>
        <v>91348829.530000001</v>
      </c>
      <c r="F55" s="24">
        <f>62984655.81</f>
        <v>62984655.810000002</v>
      </c>
      <c r="G55" s="24">
        <f>229615137.79</f>
        <v>229615137.78999999</v>
      </c>
      <c r="H55" s="24">
        <f>3294066.21</f>
        <v>3294066.21</v>
      </c>
      <c r="I55" s="24">
        <f>2921879.8</f>
        <v>2921879.8</v>
      </c>
      <c r="J55" s="24">
        <f>13564591.54</f>
        <v>13564591.539999999</v>
      </c>
      <c r="K55" s="24">
        <f>40053654.75</f>
        <v>40053654.75</v>
      </c>
      <c r="L55" s="24">
        <f>5421076214.81</f>
        <v>5421076214.8100004</v>
      </c>
      <c r="M55" s="24">
        <f>1060517646.93</f>
        <v>1060517646.9299999</v>
      </c>
      <c r="N55" s="24">
        <f>48395062.48</f>
        <v>48395062.479999997</v>
      </c>
      <c r="O55" s="24">
        <f>17799640.7</f>
        <v>17799640.699999999</v>
      </c>
      <c r="P55" s="24">
        <f>14933838.19</f>
        <v>14933838.189999999</v>
      </c>
      <c r="Q55" s="24">
        <f>2865802.51</f>
        <v>2865802.51</v>
      </c>
    </row>
    <row r="56" spans="1:17" ht="26.25" customHeight="1" x14ac:dyDescent="0.2">
      <c r="A56" s="19" t="s">
        <v>41</v>
      </c>
      <c r="B56" s="24">
        <f>3714587968.98</f>
        <v>3714587968.98</v>
      </c>
      <c r="C56" s="24">
        <f>3711504419.69</f>
        <v>3711504419.6900001</v>
      </c>
      <c r="D56" s="24">
        <f>371411627.47</f>
        <v>371411627.47000003</v>
      </c>
      <c r="E56" s="24">
        <f>212985291.94</f>
        <v>212985291.94</v>
      </c>
      <c r="F56" s="24">
        <f>16597982.17</f>
        <v>16597982.17</v>
      </c>
      <c r="G56" s="24">
        <f>136922496.7</f>
        <v>136922496.69999999</v>
      </c>
      <c r="H56" s="24">
        <f>4905856.66</f>
        <v>4905856.66</v>
      </c>
      <c r="I56" s="24">
        <f>167506.31</f>
        <v>167506.31</v>
      </c>
      <c r="J56" s="24">
        <f>9826778.86</f>
        <v>9826778.8599999994</v>
      </c>
      <c r="K56" s="24">
        <f>24669173.66</f>
        <v>24669173.66</v>
      </c>
      <c r="L56" s="24">
        <f>1829409091.61</f>
        <v>1829409091.6099999</v>
      </c>
      <c r="M56" s="24">
        <f>1259545136.46</f>
        <v>1259545136.46</v>
      </c>
      <c r="N56" s="24">
        <f>216475105.32</f>
        <v>216475105.31999999</v>
      </c>
      <c r="O56" s="24">
        <f>3083549.29</f>
        <v>3083549.29</v>
      </c>
      <c r="P56" s="24">
        <f>2958390.41</f>
        <v>2958390.41</v>
      </c>
      <c r="Q56" s="24">
        <f>125158.88</f>
        <v>125158.88</v>
      </c>
    </row>
    <row r="66" spans="1:13" ht="75" customHeight="1" x14ac:dyDescent="0.2">
      <c r="A66" s="30" t="str">
        <f>CONCATENATE("Informacja z wykonania budżetów miast na prawach powiatu za  ",$C$93," ",$B$94," roku     ",$B$96,"")</f>
        <v xml:space="preserve">Informacja z wykonania budżetów miast na prawach powiatu za  II Kwartały 2025 roku     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3.5" customHeight="1" x14ac:dyDescent="0.2">
      <c r="B67" s="44" t="s">
        <v>3</v>
      </c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</row>
    <row r="69" spans="1:13" ht="13.5" customHeight="1" x14ac:dyDescent="0.2">
      <c r="B69" s="45" t="s">
        <v>0</v>
      </c>
      <c r="C69" s="46"/>
      <c r="D69" s="46"/>
      <c r="E69" s="47"/>
      <c r="F69" s="77" t="s">
        <v>73</v>
      </c>
      <c r="G69" s="36" t="s">
        <v>72</v>
      </c>
      <c r="H69" s="37"/>
      <c r="I69" s="37"/>
      <c r="J69" s="37"/>
      <c r="K69" s="37"/>
      <c r="L69" s="38"/>
    </row>
    <row r="70" spans="1:13" ht="13.5" customHeight="1" x14ac:dyDescent="0.2">
      <c r="B70" s="48"/>
      <c r="C70" s="49"/>
      <c r="D70" s="49"/>
      <c r="E70" s="50"/>
      <c r="F70" s="78"/>
      <c r="G70" s="80" t="s">
        <v>74</v>
      </c>
      <c r="H70" s="32" t="s">
        <v>70</v>
      </c>
      <c r="I70" s="32" t="s">
        <v>71</v>
      </c>
      <c r="J70" s="32" t="s">
        <v>75</v>
      </c>
      <c r="K70" s="32" t="s">
        <v>76</v>
      </c>
      <c r="L70" s="39" t="s">
        <v>77</v>
      </c>
    </row>
    <row r="71" spans="1:13" ht="13.5" customHeight="1" x14ac:dyDescent="0.2">
      <c r="B71" s="48"/>
      <c r="C71" s="49"/>
      <c r="D71" s="49"/>
      <c r="E71" s="50"/>
      <c r="F71" s="78"/>
      <c r="G71" s="80"/>
      <c r="H71" s="32"/>
      <c r="I71" s="32"/>
      <c r="J71" s="32"/>
      <c r="K71" s="32"/>
      <c r="L71" s="39"/>
    </row>
    <row r="72" spans="1:13" ht="11.25" customHeight="1" x14ac:dyDescent="0.2">
      <c r="B72" s="48"/>
      <c r="C72" s="49"/>
      <c r="D72" s="49"/>
      <c r="E72" s="50"/>
      <c r="F72" s="78"/>
      <c r="G72" s="80"/>
      <c r="H72" s="32"/>
      <c r="I72" s="32"/>
      <c r="J72" s="32"/>
      <c r="K72" s="32"/>
      <c r="L72" s="39"/>
    </row>
    <row r="73" spans="1:13" ht="11.25" customHeight="1" x14ac:dyDescent="0.2">
      <c r="B73" s="51"/>
      <c r="C73" s="52"/>
      <c r="D73" s="52"/>
      <c r="E73" s="53"/>
      <c r="F73" s="79"/>
      <c r="G73" s="80"/>
      <c r="H73" s="32"/>
      <c r="I73" s="32"/>
      <c r="J73" s="32"/>
      <c r="K73" s="32"/>
      <c r="L73" s="39"/>
    </row>
    <row r="74" spans="1:13" ht="11.25" customHeight="1" x14ac:dyDescent="0.2">
      <c r="B74" s="32">
        <v>1</v>
      </c>
      <c r="C74" s="32"/>
      <c r="D74" s="32"/>
      <c r="E74" s="32"/>
      <c r="F74" s="3">
        <v>2</v>
      </c>
      <c r="G74" s="3">
        <v>3</v>
      </c>
      <c r="H74" s="3">
        <v>4</v>
      </c>
      <c r="I74" s="3">
        <v>5</v>
      </c>
      <c r="J74" s="3">
        <v>6</v>
      </c>
      <c r="K74" s="3">
        <v>7</v>
      </c>
      <c r="L74" s="13">
        <v>8</v>
      </c>
    </row>
    <row r="75" spans="1:13" ht="11.25" customHeight="1" x14ac:dyDescent="0.2">
      <c r="B75" s="31"/>
      <c r="C75" s="31"/>
      <c r="D75" s="31"/>
      <c r="E75" s="31"/>
      <c r="F75" s="32" t="s">
        <v>79</v>
      </c>
      <c r="G75" s="32"/>
      <c r="H75" s="32"/>
      <c r="I75" s="32"/>
      <c r="J75" s="32"/>
      <c r="K75" s="32"/>
      <c r="L75" s="32"/>
    </row>
    <row r="76" spans="1:13" ht="47.25" customHeight="1" x14ac:dyDescent="0.2">
      <c r="B76" s="54" t="s">
        <v>57</v>
      </c>
      <c r="C76" s="55"/>
      <c r="D76" s="55"/>
      <c r="E76" s="56"/>
      <c r="F76" s="22">
        <f>1524245741.5</f>
        <v>1524245741.5</v>
      </c>
      <c r="G76" s="22">
        <f>166417299.44</f>
        <v>166417299.44</v>
      </c>
      <c r="H76" s="22">
        <f>18136238</f>
        <v>18136238</v>
      </c>
      <c r="I76" s="22">
        <f>54838082.14</f>
        <v>54838082.140000001</v>
      </c>
      <c r="J76" s="22">
        <f>93442979.3</f>
        <v>93442979.299999997</v>
      </c>
      <c r="K76" s="22">
        <f>0</f>
        <v>0</v>
      </c>
      <c r="L76" s="22">
        <f>1357828442.06</f>
        <v>1357828442.0599999</v>
      </c>
    </row>
    <row r="77" spans="1:13" ht="47.25" customHeight="1" x14ac:dyDescent="0.2">
      <c r="B77" s="54" t="s">
        <v>58</v>
      </c>
      <c r="C77" s="55"/>
      <c r="D77" s="55"/>
      <c r="E77" s="56"/>
      <c r="F77" s="22">
        <f>0</f>
        <v>0</v>
      </c>
      <c r="G77" s="22">
        <f>0</f>
        <v>0</v>
      </c>
      <c r="H77" s="22">
        <f>0</f>
        <v>0</v>
      </c>
      <c r="I77" s="22">
        <f>0</f>
        <v>0</v>
      </c>
      <c r="J77" s="22">
        <f>0</f>
        <v>0</v>
      </c>
      <c r="K77" s="22">
        <f>0</f>
        <v>0</v>
      </c>
      <c r="L77" s="22">
        <f>0</f>
        <v>0</v>
      </c>
    </row>
    <row r="78" spans="1:13" ht="47.25" customHeight="1" x14ac:dyDescent="0.2">
      <c r="B78" s="54" t="s">
        <v>59</v>
      </c>
      <c r="C78" s="55"/>
      <c r="D78" s="55"/>
      <c r="E78" s="56"/>
      <c r="F78" s="22">
        <f>12136658.43</f>
        <v>12136658.43</v>
      </c>
      <c r="G78" s="22">
        <f>1000000</f>
        <v>1000000</v>
      </c>
      <c r="H78" s="22">
        <f>0</f>
        <v>0</v>
      </c>
      <c r="I78" s="22">
        <f>0</f>
        <v>0</v>
      </c>
      <c r="J78" s="22">
        <f>1000000</f>
        <v>1000000</v>
      </c>
      <c r="K78" s="22">
        <f>0</f>
        <v>0</v>
      </c>
      <c r="L78" s="22">
        <f>11136658.43</f>
        <v>11136658.43</v>
      </c>
    </row>
    <row r="79" spans="1:13" ht="47.25" customHeight="1" x14ac:dyDescent="0.2">
      <c r="B79" s="54" t="s">
        <v>60</v>
      </c>
      <c r="C79" s="55"/>
      <c r="D79" s="55"/>
      <c r="E79" s="56"/>
      <c r="F79" s="22">
        <f>38000026.48</f>
        <v>38000026.479999997</v>
      </c>
      <c r="G79" s="22">
        <f>36000026.48</f>
        <v>36000026.479999997</v>
      </c>
      <c r="H79" s="22">
        <f>0</f>
        <v>0</v>
      </c>
      <c r="I79" s="22">
        <f>0</f>
        <v>0</v>
      </c>
      <c r="J79" s="22">
        <f>36000026.48</f>
        <v>36000026.479999997</v>
      </c>
      <c r="K79" s="22">
        <f>0</f>
        <v>0</v>
      </c>
      <c r="L79" s="22">
        <f>2000000</f>
        <v>2000000</v>
      </c>
    </row>
    <row r="80" spans="1:13" ht="47.25" customHeight="1" x14ac:dyDescent="0.2">
      <c r="B80" s="54" t="s">
        <v>61</v>
      </c>
      <c r="C80" s="55"/>
      <c r="D80" s="55"/>
      <c r="E80" s="56"/>
      <c r="F80" s="22">
        <f>7976283.19</f>
        <v>7976283.1900000004</v>
      </c>
      <c r="G80" s="22">
        <f>7976283.19</f>
        <v>7976283.1900000004</v>
      </c>
      <c r="H80" s="22">
        <f>0</f>
        <v>0</v>
      </c>
      <c r="I80" s="22">
        <f>0</f>
        <v>0</v>
      </c>
      <c r="J80" s="22">
        <f>7976283.19</f>
        <v>7976283.1900000004</v>
      </c>
      <c r="K80" s="22">
        <f>0</f>
        <v>0</v>
      </c>
      <c r="L80" s="22">
        <f>0</f>
        <v>0</v>
      </c>
    </row>
    <row r="81" spans="1:13" ht="47.25" customHeight="1" x14ac:dyDescent="0.2">
      <c r="B81" s="54" t="s">
        <v>62</v>
      </c>
      <c r="C81" s="55"/>
      <c r="D81" s="55"/>
      <c r="E81" s="56"/>
      <c r="F81" s="22">
        <f>6893221.36</f>
        <v>6893221.3600000003</v>
      </c>
      <c r="G81" s="22">
        <f>6393221.36</f>
        <v>6393221.3600000003</v>
      </c>
      <c r="H81" s="22">
        <f>0</f>
        <v>0</v>
      </c>
      <c r="I81" s="22">
        <f>0</f>
        <v>0</v>
      </c>
      <c r="J81" s="22">
        <f>6393221.36</f>
        <v>6393221.3600000003</v>
      </c>
      <c r="K81" s="22">
        <f>0</f>
        <v>0</v>
      </c>
      <c r="L81" s="22">
        <f>500000</f>
        <v>500000</v>
      </c>
    </row>
    <row r="82" spans="1:13" ht="47.25" customHeight="1" x14ac:dyDescent="0.2">
      <c r="B82" s="54" t="s">
        <v>63</v>
      </c>
      <c r="C82" s="55"/>
      <c r="D82" s="55"/>
      <c r="E82" s="56"/>
      <c r="F82" s="22">
        <f>0</f>
        <v>0</v>
      </c>
      <c r="G82" s="22">
        <f>0</f>
        <v>0</v>
      </c>
      <c r="H82" s="22">
        <f>0</f>
        <v>0</v>
      </c>
      <c r="I82" s="22">
        <f>0</f>
        <v>0</v>
      </c>
      <c r="J82" s="22">
        <f>0</f>
        <v>0</v>
      </c>
      <c r="K82" s="22">
        <f>0</f>
        <v>0</v>
      </c>
      <c r="L82" s="22">
        <f>0</f>
        <v>0</v>
      </c>
    </row>
    <row r="85" spans="1:13" ht="75" customHeight="1" x14ac:dyDescent="0.2">
      <c r="A85" s="30" t="str">
        <f>CONCATENATE("Informacja z wykonania budżetów miast na prawach powiatu za  ",$C$93," ",$B$94," roku     ",$B$96,"")</f>
        <v xml:space="preserve">Informacja z wykonania budżetów miast na prawach powiatu za  II Kwartały 2025 roku     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1:13" ht="13.5" customHeight="1" x14ac:dyDescent="0.2">
      <c r="B86" s="4"/>
    </row>
    <row r="87" spans="1:13" ht="13.5" customHeight="1" x14ac:dyDescent="0.2">
      <c r="B87" s="5"/>
      <c r="C87" s="36"/>
      <c r="D87" s="37"/>
      <c r="E87" s="37"/>
      <c r="F87" s="38"/>
      <c r="G87" s="36" t="s">
        <v>4</v>
      </c>
      <c r="H87" s="38"/>
      <c r="I87" s="36" t="s">
        <v>5</v>
      </c>
      <c r="J87" s="38"/>
      <c r="K87" s="5"/>
    </row>
    <row r="88" spans="1:13" ht="13.5" customHeight="1" x14ac:dyDescent="0.2">
      <c r="B88" s="6"/>
      <c r="C88" s="54" t="s">
        <v>6</v>
      </c>
      <c r="D88" s="55"/>
      <c r="E88" s="55"/>
      <c r="F88" s="56"/>
      <c r="G88" s="40">
        <f>61</f>
        <v>61</v>
      </c>
      <c r="H88" s="41"/>
      <c r="I88" s="42">
        <f>10183431812.17</f>
        <v>10183431812.17</v>
      </c>
      <c r="J88" s="43"/>
      <c r="K88" s="7"/>
    </row>
    <row r="89" spans="1:13" ht="13.5" customHeight="1" x14ac:dyDescent="0.2">
      <c r="B89" s="6"/>
      <c r="C89" s="63" t="s">
        <v>7</v>
      </c>
      <c r="D89" s="64"/>
      <c r="E89" s="64"/>
      <c r="F89" s="65"/>
      <c r="G89" s="66">
        <f>5</f>
        <v>5</v>
      </c>
      <c r="H89" s="67"/>
      <c r="I89" s="57">
        <f>-56351396.4</f>
        <v>-56351396.399999999</v>
      </c>
      <c r="J89" s="58"/>
      <c r="K89" s="7"/>
    </row>
    <row r="90" spans="1:13" ht="13.5" customHeight="1" x14ac:dyDescent="0.2">
      <c r="B90" s="6"/>
      <c r="C90" s="54" t="s">
        <v>8</v>
      </c>
      <c r="D90" s="55"/>
      <c r="E90" s="55"/>
      <c r="F90" s="56"/>
      <c r="G90" s="40">
        <f>0</f>
        <v>0</v>
      </c>
      <c r="H90" s="41"/>
      <c r="I90" s="42">
        <f>0</f>
        <v>0</v>
      </c>
      <c r="J90" s="43"/>
      <c r="K90" s="7"/>
    </row>
    <row r="93" spans="1:13" ht="13.5" customHeight="1" x14ac:dyDescent="0.2">
      <c r="A93" s="8" t="s">
        <v>9</v>
      </c>
      <c r="B93" s="8">
        <f>2</f>
        <v>2</v>
      </c>
      <c r="C93" s="8" t="str">
        <f>IF(B93=1,"I Kwartał",IF(B93=2,"II Kwartały",IF(B93=3,"III Kwartały",IF(B93=4,"IV Kwartały","-"))))</f>
        <v>II Kwartały</v>
      </c>
    </row>
    <row r="94" spans="1:13" ht="13.5" customHeight="1" x14ac:dyDescent="0.2">
      <c r="A94" s="8" t="s">
        <v>10</v>
      </c>
      <c r="B94" s="8">
        <f>2025</f>
        <v>2025</v>
      </c>
      <c r="C94" s="9"/>
    </row>
    <row r="95" spans="1:13" ht="13.5" customHeight="1" x14ac:dyDescent="0.2">
      <c r="A95" s="8" t="s">
        <v>11</v>
      </c>
      <c r="B95" s="10" t="str">
        <f>"Aug 15 2025 12:00AM"</f>
        <v>Aug 15 2025 12:00AM</v>
      </c>
      <c r="C95" s="9"/>
    </row>
    <row r="96" spans="1:13" ht="13.5" customHeight="1" x14ac:dyDescent="0.2">
      <c r="A96" s="15" t="s">
        <v>78</v>
      </c>
      <c r="B96" s="10" t="str">
        <f>""</f>
        <v/>
      </c>
    </row>
  </sheetData>
  <mergeCells count="79">
    <mergeCell ref="K70:K73"/>
    <mergeCell ref="F35:F37"/>
    <mergeCell ref="G35:G37"/>
    <mergeCell ref="H35:H37"/>
    <mergeCell ref="K35:K37"/>
    <mergeCell ref="I35:I37"/>
    <mergeCell ref="J35:J37"/>
    <mergeCell ref="F69:F73"/>
    <mergeCell ref="G70:G73"/>
    <mergeCell ref="A1:M1"/>
    <mergeCell ref="C5:M5"/>
    <mergeCell ref="A3:M3"/>
    <mergeCell ref="K7:K10"/>
    <mergeCell ref="C7:C10"/>
    <mergeCell ref="B6:B10"/>
    <mergeCell ref="G7:G10"/>
    <mergeCell ref="F7:F10"/>
    <mergeCell ref="I7:I10"/>
    <mergeCell ref="J7:J10"/>
    <mergeCell ref="H7:H10"/>
    <mergeCell ref="L7:L10"/>
    <mergeCell ref="M7:M10"/>
    <mergeCell ref="I90:J90"/>
    <mergeCell ref="I89:J89"/>
    <mergeCell ref="A6:A10"/>
    <mergeCell ref="C6:N6"/>
    <mergeCell ref="D7:D10"/>
    <mergeCell ref="E7:E10"/>
    <mergeCell ref="B80:E80"/>
    <mergeCell ref="B77:E77"/>
    <mergeCell ref="M35:M37"/>
    <mergeCell ref="B76:E76"/>
    <mergeCell ref="C88:F88"/>
    <mergeCell ref="C89:F89"/>
    <mergeCell ref="C90:F90"/>
    <mergeCell ref="G88:H88"/>
    <mergeCell ref="G87:H87"/>
    <mergeCell ref="G89:H89"/>
    <mergeCell ref="G90:H90"/>
    <mergeCell ref="I88:J88"/>
    <mergeCell ref="B67:M67"/>
    <mergeCell ref="I87:J87"/>
    <mergeCell ref="B74:E74"/>
    <mergeCell ref="B69:E73"/>
    <mergeCell ref="B82:E82"/>
    <mergeCell ref="A85:M85"/>
    <mergeCell ref="B78:E78"/>
    <mergeCell ref="B79:E79"/>
    <mergeCell ref="C87:F87"/>
    <mergeCell ref="B81:E81"/>
    <mergeCell ref="G69:L69"/>
    <mergeCell ref="H70:H73"/>
    <mergeCell ref="I70:I73"/>
    <mergeCell ref="J70:J73"/>
    <mergeCell ref="B75:E75"/>
    <mergeCell ref="F75:L75"/>
    <mergeCell ref="B12:Q12"/>
    <mergeCell ref="B39:Q39"/>
    <mergeCell ref="L70:L73"/>
    <mergeCell ref="C34:N34"/>
    <mergeCell ref="A30:M30"/>
    <mergeCell ref="O34:Q34"/>
    <mergeCell ref="A32:M32"/>
    <mergeCell ref="B34:B37"/>
    <mergeCell ref="Q35:Q37"/>
    <mergeCell ref="N35:N37"/>
    <mergeCell ref="O35:O37"/>
    <mergeCell ref="D35:D37"/>
    <mergeCell ref="A34:A37"/>
    <mergeCell ref="C35:C37"/>
    <mergeCell ref="O6:Q6"/>
    <mergeCell ref="O7:O10"/>
    <mergeCell ref="A66:M66"/>
    <mergeCell ref="L35:L37"/>
    <mergeCell ref="P35:P37"/>
    <mergeCell ref="Q7:Q10"/>
    <mergeCell ref="N7:N10"/>
    <mergeCell ref="P7:P10"/>
    <mergeCell ref="E35:E37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2016-08-26T11:41:03Z</cp:lastPrinted>
  <dcterms:created xsi:type="dcterms:W3CDTF">2001-05-17T08:58:03Z</dcterms:created>
  <dcterms:modified xsi:type="dcterms:W3CDTF">2025-08-21T11:43:36Z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2025-08-19T09:05:48.4358995+02:00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GRN-e44e10e1-84b6-4488-ae93-c4660b8f4780</vt:lpwstr>
  </property>
  <property fmtid="{D5CDD505-2E9C-101B-9397-08002B2CF9AE}" pid="7" name="MFHash">
    <vt:lpwstr>90dwJiTtNf59WLrYrLCQcSUQ9OECL610eRea5AG9jos=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