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babraj\Desktop\Publikacja\Zmiana planu finansowego 15.12\"/>
    </mc:Choice>
  </mc:AlternateContent>
  <bookViews>
    <workbookView xWindow="0" yWindow="0" windowWidth="28800" windowHeight="11505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  <externalReference r:id="rId23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WarmińskoMazurski!$A$6:$C$64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CENTRALA!$A$1:$F$65</definedName>
    <definedName name="_xlnm.Print_Area" localSheetId="3">Dolnośląski!$A$1:$F$65</definedName>
    <definedName name="_xlnm.Print_Area" localSheetId="4">KujawskoPomorski!$A$1:$F$65</definedName>
    <definedName name="_xlnm.Print_Area" localSheetId="5">Lubelski!$A$1:$F$65</definedName>
    <definedName name="_xlnm.Print_Area" localSheetId="6">Lubuski!$A$1:$F$65</definedName>
    <definedName name="_xlnm.Print_Area" localSheetId="7">Łódzki!$A$1:$F$65</definedName>
    <definedName name="_xlnm.Print_Area" localSheetId="8">Małopolski!$A$1:$F$65</definedName>
    <definedName name="_xlnm.Print_Area" localSheetId="9">Mazowiecki!$A$1:$F$65</definedName>
    <definedName name="_xlnm.Print_Area" localSheetId="0">NFZ!$A$1:$F$93</definedName>
    <definedName name="_xlnm.Print_Area" localSheetId="10">Opolski!$A$1:$F$65</definedName>
    <definedName name="_xlnm.Print_Area" localSheetId="11">Podkarpacki!$A$1:$F$65</definedName>
    <definedName name="_xlnm.Print_Area" localSheetId="12">Podlaski!$A$1:$F$65</definedName>
    <definedName name="_xlnm.Print_Area" localSheetId="13">Pomorski!$A$1:$F$65</definedName>
    <definedName name="_xlnm.Print_Area" localSheetId="2">'Razem OW'!$A$1:$F$65</definedName>
    <definedName name="_xlnm.Print_Area" localSheetId="14">Śląski!$A$1:$F$65</definedName>
    <definedName name="_xlnm.Print_Area" localSheetId="15">Świętokrzyski!$A$1:$F$65</definedName>
    <definedName name="_xlnm.Print_Area" localSheetId="16">WarmińskoMazurski!$A$1:$F$65</definedName>
    <definedName name="_xlnm.Print_Area" localSheetId="17">Wielkopolski!$A$1:$F$65</definedName>
    <definedName name="_xlnm.Print_Area" localSheetId="18">Zachodniopomorski!$A$1:$F$65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fullPrecision="0"/>
</workbook>
</file>

<file path=xl/calcChain.xml><?xml version="1.0" encoding="utf-8"?>
<calcChain xmlns="http://schemas.openxmlformats.org/spreadsheetml/2006/main">
  <c r="C65" i="3" l="1"/>
  <c r="C64" i="3"/>
  <c r="C63" i="3"/>
  <c r="C62" i="3"/>
  <c r="C61" i="3"/>
  <c r="C59" i="3"/>
  <c r="C58" i="3"/>
  <c r="C57" i="3"/>
  <c r="C56" i="3"/>
  <c r="C55" i="3"/>
  <c r="C54" i="3"/>
  <c r="C53" i="3"/>
  <c r="C51" i="3"/>
  <c r="C50" i="3"/>
  <c r="C49" i="3"/>
  <c r="C48" i="3"/>
  <c r="C47" i="3"/>
  <c r="C46" i="3"/>
  <c r="C45" i="3"/>
  <c r="C44" i="3"/>
  <c r="C43" i="3"/>
  <c r="C41" i="3"/>
  <c r="C40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5" i="5"/>
  <c r="C64" i="5"/>
  <c r="C63" i="5"/>
  <c r="C62" i="5"/>
  <c r="C61" i="5"/>
  <c r="C59" i="5"/>
  <c r="C58" i="5"/>
  <c r="C57" i="5"/>
  <c r="C56" i="5"/>
  <c r="C55" i="5"/>
  <c r="C54" i="5"/>
  <c r="C53" i="5"/>
  <c r="C51" i="5"/>
  <c r="C50" i="5"/>
  <c r="C49" i="5"/>
  <c r="C48" i="5"/>
  <c r="C47" i="5"/>
  <c r="C46" i="5"/>
  <c r="C45" i="5"/>
  <c r="C44" i="5"/>
  <c r="C43" i="5"/>
  <c r="C41" i="5"/>
  <c r="C40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5" i="6"/>
  <c r="C64" i="6"/>
  <c r="C63" i="6"/>
  <c r="C62" i="6"/>
  <c r="C61" i="6"/>
  <c r="C59" i="6"/>
  <c r="C58" i="6"/>
  <c r="C57" i="6"/>
  <c r="C56" i="6"/>
  <c r="C55" i="6"/>
  <c r="C54" i="6"/>
  <c r="C53" i="6"/>
  <c r="C51" i="6"/>
  <c r="C50" i="6"/>
  <c r="C49" i="6"/>
  <c r="C48" i="6"/>
  <c r="C47" i="6"/>
  <c r="C46" i="6"/>
  <c r="C45" i="6"/>
  <c r="C44" i="6"/>
  <c r="C43" i="6"/>
  <c r="C41" i="6"/>
  <c r="C40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5" i="7"/>
  <c r="C64" i="7"/>
  <c r="C63" i="7"/>
  <c r="C62" i="7"/>
  <c r="C61" i="7"/>
  <c r="C59" i="7"/>
  <c r="C58" i="7"/>
  <c r="C57" i="7"/>
  <c r="C56" i="7"/>
  <c r="C55" i="7"/>
  <c r="C54" i="7"/>
  <c r="C53" i="7"/>
  <c r="C51" i="7"/>
  <c r="C50" i="7"/>
  <c r="C49" i="7"/>
  <c r="C48" i="7"/>
  <c r="C47" i="7"/>
  <c r="C46" i="7"/>
  <c r="C45" i="7"/>
  <c r="C44" i="7"/>
  <c r="C43" i="7"/>
  <c r="C41" i="7"/>
  <c r="C40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5" i="8"/>
  <c r="C64" i="8"/>
  <c r="D64" i="8" s="1"/>
  <c r="C63" i="8"/>
  <c r="C62" i="8"/>
  <c r="D62" i="8" s="1"/>
  <c r="C61" i="8"/>
  <c r="C59" i="8"/>
  <c r="C58" i="8"/>
  <c r="C57" i="8"/>
  <c r="C56" i="8"/>
  <c r="C55" i="8"/>
  <c r="C54" i="8"/>
  <c r="C53" i="8"/>
  <c r="C51" i="8"/>
  <c r="C50" i="8"/>
  <c r="C49" i="8"/>
  <c r="C48" i="8"/>
  <c r="C47" i="8"/>
  <c r="C46" i="8"/>
  <c r="C45" i="8"/>
  <c r="C44" i="8"/>
  <c r="C43" i="8"/>
  <c r="C41" i="8"/>
  <c r="C40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5" i="9"/>
  <c r="C64" i="9"/>
  <c r="C63" i="9"/>
  <c r="C62" i="9"/>
  <c r="C61" i="9"/>
  <c r="C59" i="9"/>
  <c r="C58" i="9"/>
  <c r="C57" i="9"/>
  <c r="C56" i="9"/>
  <c r="C55" i="9"/>
  <c r="C54" i="9"/>
  <c r="C53" i="9"/>
  <c r="C51" i="9"/>
  <c r="C50" i="9"/>
  <c r="C49" i="9"/>
  <c r="C48" i="9"/>
  <c r="C47" i="9"/>
  <c r="C46" i="9"/>
  <c r="C45" i="9"/>
  <c r="C44" i="9"/>
  <c r="C43" i="9"/>
  <c r="C41" i="9"/>
  <c r="C40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5" i="10"/>
  <c r="C64" i="10"/>
  <c r="C63" i="10"/>
  <c r="C62" i="10"/>
  <c r="C61" i="10"/>
  <c r="C59" i="10"/>
  <c r="C58" i="10"/>
  <c r="C57" i="10"/>
  <c r="C56" i="10"/>
  <c r="C55" i="10"/>
  <c r="C54" i="10"/>
  <c r="C53" i="10"/>
  <c r="C51" i="10"/>
  <c r="C50" i="10"/>
  <c r="C49" i="10"/>
  <c r="C48" i="10"/>
  <c r="C47" i="10"/>
  <c r="C46" i="10"/>
  <c r="C45" i="10"/>
  <c r="C44" i="10"/>
  <c r="C43" i="10"/>
  <c r="C41" i="10"/>
  <c r="C40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5" i="11"/>
  <c r="C64" i="11"/>
  <c r="C63" i="11"/>
  <c r="C62" i="11"/>
  <c r="C61" i="11"/>
  <c r="C59" i="11"/>
  <c r="C58" i="11"/>
  <c r="C57" i="11"/>
  <c r="C56" i="11"/>
  <c r="C55" i="11"/>
  <c r="C54" i="11"/>
  <c r="C53" i="11"/>
  <c r="C51" i="11"/>
  <c r="C50" i="11"/>
  <c r="C49" i="11"/>
  <c r="C48" i="11"/>
  <c r="C47" i="11"/>
  <c r="C46" i="11"/>
  <c r="C45" i="11"/>
  <c r="C44" i="11"/>
  <c r="C43" i="11"/>
  <c r="C41" i="11"/>
  <c r="C40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5" i="12"/>
  <c r="D65" i="12" s="1"/>
  <c r="C64" i="12"/>
  <c r="C63" i="12"/>
  <c r="C62" i="12"/>
  <c r="C61" i="12"/>
  <c r="C59" i="12"/>
  <c r="C58" i="12"/>
  <c r="C57" i="12"/>
  <c r="C56" i="12"/>
  <c r="C55" i="12"/>
  <c r="C54" i="12"/>
  <c r="C53" i="12"/>
  <c r="C51" i="12"/>
  <c r="C50" i="12"/>
  <c r="C49" i="12"/>
  <c r="C48" i="12"/>
  <c r="C47" i="12"/>
  <c r="C46" i="12"/>
  <c r="C45" i="12"/>
  <c r="C44" i="12"/>
  <c r="C43" i="12"/>
  <c r="C41" i="12"/>
  <c r="C40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5" i="13"/>
  <c r="C64" i="13"/>
  <c r="C63" i="13"/>
  <c r="C62" i="13"/>
  <c r="C61" i="13"/>
  <c r="C59" i="13"/>
  <c r="C58" i="13"/>
  <c r="C57" i="13"/>
  <c r="C56" i="13"/>
  <c r="C55" i="13"/>
  <c r="C54" i="13"/>
  <c r="C53" i="13"/>
  <c r="C51" i="13"/>
  <c r="C50" i="13"/>
  <c r="C49" i="13"/>
  <c r="C48" i="13"/>
  <c r="C47" i="13"/>
  <c r="C46" i="13"/>
  <c r="C45" i="13"/>
  <c r="C44" i="13"/>
  <c r="C43" i="13"/>
  <c r="C41" i="13"/>
  <c r="C40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5" i="14"/>
  <c r="C64" i="14"/>
  <c r="C63" i="14"/>
  <c r="C62" i="14"/>
  <c r="C61" i="14"/>
  <c r="C59" i="14"/>
  <c r="C58" i="14"/>
  <c r="C57" i="14"/>
  <c r="C56" i="14"/>
  <c r="C55" i="14"/>
  <c r="C54" i="14"/>
  <c r="C53" i="14"/>
  <c r="C51" i="14"/>
  <c r="C50" i="14"/>
  <c r="C49" i="14"/>
  <c r="C48" i="14"/>
  <c r="C47" i="14"/>
  <c r="C46" i="14"/>
  <c r="C45" i="14"/>
  <c r="C44" i="14"/>
  <c r="C43" i="14"/>
  <c r="C41" i="14"/>
  <c r="C40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5" i="15"/>
  <c r="C64" i="15"/>
  <c r="C63" i="15"/>
  <c r="C62" i="15"/>
  <c r="C61" i="15"/>
  <c r="C59" i="15"/>
  <c r="C58" i="15"/>
  <c r="C57" i="15"/>
  <c r="C56" i="15"/>
  <c r="C55" i="15"/>
  <c r="C54" i="15"/>
  <c r="C53" i="15"/>
  <c r="C51" i="15"/>
  <c r="C50" i="15"/>
  <c r="C49" i="15"/>
  <c r="C48" i="15"/>
  <c r="C47" i="15"/>
  <c r="C46" i="15"/>
  <c r="C45" i="15"/>
  <c r="C44" i="15"/>
  <c r="C43" i="15"/>
  <c r="C41" i="15"/>
  <c r="C40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5" i="16"/>
  <c r="C64" i="16"/>
  <c r="C63" i="16"/>
  <c r="C62" i="16"/>
  <c r="C61" i="16"/>
  <c r="C59" i="16"/>
  <c r="C58" i="16"/>
  <c r="C57" i="16"/>
  <c r="C56" i="16"/>
  <c r="C55" i="16"/>
  <c r="C54" i="16"/>
  <c r="C53" i="16"/>
  <c r="C51" i="16"/>
  <c r="C50" i="16"/>
  <c r="C49" i="16"/>
  <c r="C48" i="16"/>
  <c r="C47" i="16"/>
  <c r="C46" i="16"/>
  <c r="C45" i="16"/>
  <c r="C44" i="16"/>
  <c r="C43" i="16"/>
  <c r="C41" i="16"/>
  <c r="C40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5" i="17"/>
  <c r="C64" i="17"/>
  <c r="C63" i="17"/>
  <c r="C62" i="17"/>
  <c r="C61" i="17"/>
  <c r="C59" i="17"/>
  <c r="C58" i="17"/>
  <c r="C57" i="17"/>
  <c r="C56" i="17"/>
  <c r="C55" i="17"/>
  <c r="C54" i="17"/>
  <c r="C53" i="17"/>
  <c r="C51" i="17"/>
  <c r="C50" i="17"/>
  <c r="C49" i="17"/>
  <c r="C48" i="17"/>
  <c r="C47" i="17"/>
  <c r="C46" i="17"/>
  <c r="C45" i="17"/>
  <c r="C44" i="17"/>
  <c r="C43" i="17"/>
  <c r="C41" i="17"/>
  <c r="C40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5" i="18"/>
  <c r="C64" i="18"/>
  <c r="C63" i="18"/>
  <c r="C62" i="18"/>
  <c r="C61" i="18"/>
  <c r="C59" i="18"/>
  <c r="C58" i="18"/>
  <c r="C57" i="18"/>
  <c r="C56" i="18"/>
  <c r="C55" i="18"/>
  <c r="C54" i="18"/>
  <c r="C53" i="18"/>
  <c r="C51" i="18"/>
  <c r="C50" i="18"/>
  <c r="C49" i="18"/>
  <c r="C48" i="18"/>
  <c r="C47" i="18"/>
  <c r="C46" i="18"/>
  <c r="C45" i="18"/>
  <c r="C44" i="18"/>
  <c r="C43" i="18"/>
  <c r="C41" i="18"/>
  <c r="C40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5" i="19"/>
  <c r="C64" i="19"/>
  <c r="C63" i="19"/>
  <c r="C62" i="19"/>
  <c r="C61" i="19"/>
  <c r="C59" i="19"/>
  <c r="C58" i="19"/>
  <c r="C57" i="19"/>
  <c r="C56" i="19"/>
  <c r="C55" i="19"/>
  <c r="C54" i="19"/>
  <c r="C53" i="19"/>
  <c r="C51" i="19"/>
  <c r="C50" i="19"/>
  <c r="C49" i="19"/>
  <c r="C48" i="19"/>
  <c r="C47" i="19"/>
  <c r="C46" i="19"/>
  <c r="C45" i="19"/>
  <c r="C44" i="19"/>
  <c r="C43" i="19"/>
  <c r="C41" i="19"/>
  <c r="C40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5" i="22"/>
  <c r="D65" i="22" s="1"/>
  <c r="C64" i="22"/>
  <c r="C63" i="22"/>
  <c r="C62" i="22"/>
  <c r="C61" i="22"/>
  <c r="C59" i="22"/>
  <c r="C58" i="22"/>
  <c r="C57" i="22"/>
  <c r="C56" i="22"/>
  <c r="C55" i="22"/>
  <c r="C54" i="22"/>
  <c r="C53" i="22"/>
  <c r="C51" i="22"/>
  <c r="C50" i="22"/>
  <c r="C49" i="22"/>
  <c r="C48" i="22"/>
  <c r="C47" i="22"/>
  <c r="C46" i="22"/>
  <c r="C45" i="22"/>
  <c r="C44" i="22"/>
  <c r="C43" i="22"/>
  <c r="C41" i="22"/>
  <c r="C40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89" i="23"/>
  <c r="C88" i="23"/>
  <c r="C81" i="23"/>
  <c r="C25" i="23"/>
  <c r="C23" i="23"/>
  <c r="C22" i="23"/>
  <c r="C21" i="23"/>
  <c r="C20" i="23"/>
  <c r="C18" i="23"/>
  <c r="C17" i="23"/>
  <c r="C16" i="23"/>
  <c r="C14" i="23"/>
  <c r="C13" i="23"/>
  <c r="C11" i="23"/>
  <c r="C10" i="23"/>
  <c r="C8" i="23"/>
  <c r="C7" i="23"/>
  <c r="D9" i="3" l="1"/>
  <c r="D9" i="5"/>
  <c r="D9" i="6"/>
  <c r="D63" i="7"/>
  <c r="D9" i="7"/>
  <c r="D9" i="8"/>
  <c r="D9" i="9"/>
  <c r="D9" i="10"/>
  <c r="D9" i="11"/>
  <c r="D9" i="12"/>
  <c r="D9" i="13"/>
  <c r="D9" i="14"/>
  <c r="D9" i="15"/>
  <c r="D9" i="16"/>
  <c r="D9" i="17"/>
  <c r="D9" i="18"/>
  <c r="D9" i="19"/>
  <c r="D62" i="22"/>
  <c r="D18" i="23"/>
  <c r="D81" i="23" l="1"/>
  <c r="D89" i="23"/>
  <c r="D88" i="23"/>
  <c r="D64" i="22"/>
  <c r="D61" i="22"/>
  <c r="D65" i="3" l="1"/>
  <c r="D64" i="3"/>
  <c r="D62" i="3"/>
  <c r="D65" i="5"/>
  <c r="D62" i="5"/>
  <c r="D65" i="6"/>
  <c r="D62" i="6"/>
  <c r="D65" i="7"/>
  <c r="D62" i="7"/>
  <c r="D65" i="8"/>
  <c r="D61" i="8"/>
  <c r="D65" i="9"/>
  <c r="D64" i="9"/>
  <c r="D62" i="9"/>
  <c r="D65" i="10"/>
  <c r="D64" i="10"/>
  <c r="D62" i="10"/>
  <c r="D65" i="11"/>
  <c r="D64" i="11"/>
  <c r="D62" i="11"/>
  <c r="D64" i="12"/>
  <c r="D62" i="12"/>
  <c r="D65" i="13"/>
  <c r="D64" i="13"/>
  <c r="D62" i="13"/>
  <c r="D65" i="14"/>
  <c r="D62" i="14"/>
  <c r="D65" i="15"/>
  <c r="D64" i="15"/>
  <c r="D62" i="15"/>
  <c r="D65" i="16"/>
  <c r="D64" i="16"/>
  <c r="D62" i="16"/>
  <c r="D65" i="17"/>
  <c r="D64" i="17"/>
  <c r="D62" i="17"/>
  <c r="D61" i="17"/>
  <c r="D65" i="18"/>
  <c r="D64" i="18"/>
  <c r="D62" i="18"/>
  <c r="D65" i="19"/>
  <c r="D64" i="19"/>
  <c r="D62" i="19"/>
  <c r="D22" i="23" l="1"/>
  <c r="C60" i="3"/>
  <c r="D57" i="3"/>
  <c r="C52" i="3"/>
  <c r="D48" i="3"/>
  <c r="D44" i="3"/>
  <c r="D37" i="3"/>
  <c r="D33" i="3"/>
  <c r="D29" i="3"/>
  <c r="D25" i="3"/>
  <c r="D17" i="3"/>
  <c r="C38" i="3"/>
  <c r="C6" i="3"/>
  <c r="D61" i="5"/>
  <c r="D59" i="5"/>
  <c r="D56" i="5"/>
  <c r="D53" i="5"/>
  <c r="D51" i="5"/>
  <c r="D50" i="5"/>
  <c r="D47" i="5"/>
  <c r="D46" i="5"/>
  <c r="D43" i="5"/>
  <c r="D36" i="5"/>
  <c r="D35" i="5"/>
  <c r="D33" i="5"/>
  <c r="D32" i="5"/>
  <c r="D28" i="5"/>
  <c r="D27" i="5"/>
  <c r="D23" i="5"/>
  <c r="D20" i="5"/>
  <c r="D17" i="5"/>
  <c r="D16" i="5"/>
  <c r="D15" i="5"/>
  <c r="D12" i="5"/>
  <c r="D11" i="5"/>
  <c r="D8" i="5"/>
  <c r="C60" i="6"/>
  <c r="D57" i="6"/>
  <c r="D50" i="6"/>
  <c r="D46" i="6"/>
  <c r="D41" i="6"/>
  <c r="D37" i="6"/>
  <c r="D35" i="6"/>
  <c r="D33" i="6"/>
  <c r="D31" i="6"/>
  <c r="D27" i="6"/>
  <c r="D21" i="6"/>
  <c r="D20" i="6"/>
  <c r="D17" i="6"/>
  <c r="D16" i="6"/>
  <c r="D12" i="6"/>
  <c r="D61" i="7"/>
  <c r="D57" i="7"/>
  <c r="D56" i="7"/>
  <c r="D55" i="7"/>
  <c r="D51" i="7"/>
  <c r="D50" i="7"/>
  <c r="D47" i="7"/>
  <c r="D46" i="7"/>
  <c r="D43" i="7"/>
  <c r="D41" i="7"/>
  <c r="D37" i="7"/>
  <c r="D36" i="7"/>
  <c r="D32" i="7"/>
  <c r="D31" i="7"/>
  <c r="D28" i="7"/>
  <c r="D21" i="7"/>
  <c r="D20" i="7"/>
  <c r="D19" i="7"/>
  <c r="D16" i="7"/>
  <c r="D15" i="7"/>
  <c r="D12" i="7"/>
  <c r="D11" i="7"/>
  <c r="D8" i="7"/>
  <c r="D7" i="7"/>
  <c r="D57" i="8"/>
  <c r="C52" i="8"/>
  <c r="D51" i="8"/>
  <c r="D47" i="8"/>
  <c r="D46" i="8"/>
  <c r="D44" i="8"/>
  <c r="D43" i="8"/>
  <c r="D37" i="8"/>
  <c r="D36" i="8"/>
  <c r="D33" i="8"/>
  <c r="D32" i="8"/>
  <c r="D29" i="8"/>
  <c r="D28" i="8"/>
  <c r="D27" i="8"/>
  <c r="D57" i="9"/>
  <c r="D50" i="9"/>
  <c r="D48" i="9"/>
  <c r="D46" i="9"/>
  <c r="D44" i="9"/>
  <c r="D41" i="9"/>
  <c r="D37" i="9"/>
  <c r="D35" i="9"/>
  <c r="D33" i="9"/>
  <c r="D31" i="9"/>
  <c r="D29" i="9"/>
  <c r="D27" i="9"/>
  <c r="D25" i="9"/>
  <c r="D21" i="9"/>
  <c r="D19" i="9"/>
  <c r="D17" i="9"/>
  <c r="D15" i="9"/>
  <c r="D13" i="9"/>
  <c r="D7" i="9"/>
  <c r="D57" i="10"/>
  <c r="D44" i="10"/>
  <c r="D37" i="10"/>
  <c r="D33" i="10"/>
  <c r="D29" i="10"/>
  <c r="D27" i="10"/>
  <c r="D25" i="10"/>
  <c r="D23" i="10"/>
  <c r="D21" i="10"/>
  <c r="D19" i="10"/>
  <c r="D17" i="10"/>
  <c r="D15" i="10"/>
  <c r="D13" i="10"/>
  <c r="D61" i="11"/>
  <c r="D51" i="11"/>
  <c r="D47" i="11"/>
  <c r="D46" i="11"/>
  <c r="D43" i="11"/>
  <c r="D37" i="11"/>
  <c r="D35" i="11"/>
  <c r="D33" i="11"/>
  <c r="D31" i="11"/>
  <c r="D29" i="11"/>
  <c r="D25" i="11"/>
  <c r="D23" i="11"/>
  <c r="D21" i="11"/>
  <c r="D20" i="11"/>
  <c r="D17" i="11"/>
  <c r="D16" i="11"/>
  <c r="D15" i="11"/>
  <c r="D13" i="11"/>
  <c r="D12" i="11"/>
  <c r="D8" i="11"/>
  <c r="D7" i="11"/>
  <c r="D61" i="12"/>
  <c r="D57" i="12"/>
  <c r="D56" i="12"/>
  <c r="D51" i="12"/>
  <c r="D50" i="12"/>
  <c r="D47" i="12"/>
  <c r="D44" i="12"/>
  <c r="D43" i="12"/>
  <c r="D36" i="12"/>
  <c r="D32" i="12"/>
  <c r="D29" i="12"/>
  <c r="D28" i="12"/>
  <c r="D23" i="12"/>
  <c r="D21" i="12"/>
  <c r="D19" i="12"/>
  <c r="D17" i="12"/>
  <c r="D15" i="12"/>
  <c r="D11" i="12"/>
  <c r="D7" i="12"/>
  <c r="D56" i="13"/>
  <c r="D50" i="13"/>
  <c r="D46" i="13"/>
  <c r="D41" i="13"/>
  <c r="D36" i="13"/>
  <c r="D32" i="13"/>
  <c r="D31" i="13"/>
  <c r="D30" i="13"/>
  <c r="D28" i="13"/>
  <c r="D27" i="13"/>
  <c r="D26" i="13"/>
  <c r="D23" i="13"/>
  <c r="D21" i="13"/>
  <c r="D20" i="13"/>
  <c r="D19" i="13"/>
  <c r="D17" i="13"/>
  <c r="D16" i="13"/>
  <c r="D13" i="13"/>
  <c r="D12" i="13"/>
  <c r="D11" i="13"/>
  <c r="D8" i="13"/>
  <c r="D57" i="14"/>
  <c r="D56" i="14"/>
  <c r="D51" i="14"/>
  <c r="D48" i="14"/>
  <c r="D47" i="14"/>
  <c r="D44" i="14"/>
  <c r="D23" i="14"/>
  <c r="D21" i="14"/>
  <c r="D20" i="14"/>
  <c r="D17" i="14"/>
  <c r="D16" i="14"/>
  <c r="D15" i="14"/>
  <c r="D13" i="14"/>
  <c r="D12" i="14"/>
  <c r="D8" i="14"/>
  <c r="D61" i="15"/>
  <c r="D59" i="15"/>
  <c r="D56" i="15"/>
  <c r="D55" i="15"/>
  <c r="D50" i="15"/>
  <c r="D46" i="15"/>
  <c r="D41" i="15"/>
  <c r="D35" i="15"/>
  <c r="D31" i="15"/>
  <c r="D27" i="15"/>
  <c r="D23" i="15"/>
  <c r="D21" i="15"/>
  <c r="D20" i="15"/>
  <c r="D17" i="15"/>
  <c r="D16" i="15"/>
  <c r="D15" i="15"/>
  <c r="D13" i="15"/>
  <c r="D12" i="15"/>
  <c r="D8" i="15"/>
  <c r="D63" i="16"/>
  <c r="D58" i="16"/>
  <c r="D57" i="16"/>
  <c r="D54" i="16"/>
  <c r="D41" i="16"/>
  <c r="D37" i="16"/>
  <c r="D34" i="16"/>
  <c r="D30" i="16"/>
  <c r="D29" i="16"/>
  <c r="D27" i="16"/>
  <c r="D26" i="16"/>
  <c r="D22" i="16"/>
  <c r="D21" i="16"/>
  <c r="D19" i="16"/>
  <c r="D18" i="16"/>
  <c r="D17" i="16"/>
  <c r="D14" i="16"/>
  <c r="D13" i="16"/>
  <c r="D7" i="16"/>
  <c r="D56" i="17"/>
  <c r="D55" i="17"/>
  <c r="D53" i="17"/>
  <c r="D51" i="17"/>
  <c r="D47" i="17"/>
  <c r="D46" i="17"/>
  <c r="D43" i="17"/>
  <c r="D41" i="17"/>
  <c r="D36" i="17"/>
  <c r="D35" i="17"/>
  <c r="D32" i="17"/>
  <c r="D31" i="17"/>
  <c r="D28" i="17"/>
  <c r="D27" i="17"/>
  <c r="D23" i="17"/>
  <c r="D19" i="17"/>
  <c r="D15" i="17"/>
  <c r="D12" i="17"/>
  <c r="D11" i="17"/>
  <c r="D8" i="17"/>
  <c r="D58" i="18"/>
  <c r="D57" i="18"/>
  <c r="D49" i="18"/>
  <c r="D45" i="18"/>
  <c r="D44" i="18"/>
  <c r="D40" i="18"/>
  <c r="D37" i="18"/>
  <c r="D33" i="18"/>
  <c r="D29" i="18"/>
  <c r="D25" i="18"/>
  <c r="D57" i="22"/>
  <c r="C52" i="22"/>
  <c r="D53" i="22"/>
  <c r="C42" i="22"/>
  <c r="D23" i="22"/>
  <c r="D21" i="22"/>
  <c r="D19" i="22"/>
  <c r="D17" i="22"/>
  <c r="D16" i="22"/>
  <c r="D15" i="22"/>
  <c r="D13" i="22"/>
  <c r="D11" i="22"/>
  <c r="D9" i="22"/>
  <c r="D8" i="22"/>
  <c r="C6" i="22"/>
  <c r="D63" i="22"/>
  <c r="C60" i="22"/>
  <c r="D59" i="22"/>
  <c r="D58" i="22"/>
  <c r="D56" i="22"/>
  <c r="D55" i="22"/>
  <c r="D54" i="22"/>
  <c r="D51" i="22"/>
  <c r="D50" i="22"/>
  <c r="D49" i="22"/>
  <c r="D48" i="22"/>
  <c r="D47" i="22"/>
  <c r="D46" i="22"/>
  <c r="D45" i="22"/>
  <c r="D44" i="22"/>
  <c r="D41" i="22"/>
  <c r="D40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2" i="22"/>
  <c r="D20" i="22"/>
  <c r="D18" i="22"/>
  <c r="D14" i="22"/>
  <c r="D12" i="22"/>
  <c r="D10" i="22"/>
  <c r="D63" i="17"/>
  <c r="D59" i="17"/>
  <c r="D58" i="17"/>
  <c r="D57" i="17"/>
  <c r="D54" i="17"/>
  <c r="D50" i="17"/>
  <c r="D49" i="17"/>
  <c r="D48" i="17"/>
  <c r="D45" i="17"/>
  <c r="D44" i="17"/>
  <c r="D40" i="17"/>
  <c r="D37" i="17"/>
  <c r="D34" i="17"/>
  <c r="D33" i="17"/>
  <c r="D30" i="17"/>
  <c r="D29" i="17"/>
  <c r="D26" i="17"/>
  <c r="D25" i="17"/>
  <c r="D22" i="17"/>
  <c r="D21" i="17"/>
  <c r="D20" i="17"/>
  <c r="D18" i="17"/>
  <c r="D17" i="17"/>
  <c r="D16" i="17"/>
  <c r="D14" i="17"/>
  <c r="D10" i="17"/>
  <c r="D61" i="16"/>
  <c r="D59" i="16"/>
  <c r="D56" i="16"/>
  <c r="D55" i="16"/>
  <c r="D53" i="16"/>
  <c r="D51" i="16"/>
  <c r="D50" i="16"/>
  <c r="D49" i="16"/>
  <c r="D48" i="16"/>
  <c r="D47" i="16"/>
  <c r="D46" i="16"/>
  <c r="D45" i="16"/>
  <c r="D44" i="16"/>
  <c r="D36" i="16"/>
  <c r="D35" i="16"/>
  <c r="D33" i="16"/>
  <c r="D32" i="16"/>
  <c r="D31" i="16"/>
  <c r="D28" i="16"/>
  <c r="D25" i="16"/>
  <c r="D23" i="16"/>
  <c r="D20" i="16"/>
  <c r="D16" i="16"/>
  <c r="D15" i="16"/>
  <c r="D12" i="16"/>
  <c r="D10" i="16"/>
  <c r="D58" i="15"/>
  <c r="D57" i="15"/>
  <c r="D54" i="15"/>
  <c r="D53" i="15"/>
  <c r="D51" i="15"/>
  <c r="D49" i="15"/>
  <c r="D48" i="15"/>
  <c r="D47" i="15"/>
  <c r="D45" i="15"/>
  <c r="D44" i="15"/>
  <c r="D43" i="15"/>
  <c r="D40" i="15"/>
  <c r="D37" i="15"/>
  <c r="D36" i="15"/>
  <c r="D34" i="15"/>
  <c r="D33" i="15"/>
  <c r="D32" i="15"/>
  <c r="D30" i="15"/>
  <c r="D29" i="15"/>
  <c r="D28" i="15"/>
  <c r="D26" i="15"/>
  <c r="D25" i="15"/>
  <c r="D22" i="15"/>
  <c r="D19" i="15"/>
  <c r="D18" i="15"/>
  <c r="D14" i="15"/>
  <c r="D10" i="15"/>
  <c r="D64" i="14"/>
  <c r="D63" i="14"/>
  <c r="D59" i="14"/>
  <c r="D58" i="14"/>
  <c r="D55" i="14"/>
  <c r="D54" i="14"/>
  <c r="D50" i="14"/>
  <c r="D49" i="14"/>
  <c r="D46" i="14"/>
  <c r="D45" i="14"/>
  <c r="D41" i="14"/>
  <c r="D40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2" i="14"/>
  <c r="D19" i="14"/>
  <c r="D18" i="14"/>
  <c r="D14" i="14"/>
  <c r="D10" i="14"/>
  <c r="D63" i="13"/>
  <c r="D59" i="13"/>
  <c r="D58" i="13"/>
  <c r="D57" i="13"/>
  <c r="D55" i="13"/>
  <c r="D54" i="13"/>
  <c r="D51" i="13"/>
  <c r="D49" i="13"/>
  <c r="D48" i="13"/>
  <c r="D47" i="13"/>
  <c r="D45" i="13"/>
  <c r="D44" i="13"/>
  <c r="D40" i="13"/>
  <c r="D37" i="13"/>
  <c r="D35" i="13"/>
  <c r="D34" i="13"/>
  <c r="D33" i="13"/>
  <c r="D29" i="13"/>
  <c r="D25" i="13"/>
  <c r="D22" i="13"/>
  <c r="D18" i="13"/>
  <c r="D15" i="13"/>
  <c r="D14" i="13"/>
  <c r="D10" i="13"/>
  <c r="D7" i="13"/>
  <c r="D63" i="12"/>
  <c r="D59" i="12"/>
  <c r="D58" i="12"/>
  <c r="D55" i="12"/>
  <c r="D54" i="12"/>
  <c r="D53" i="12"/>
  <c r="D49" i="12"/>
  <c r="D46" i="12"/>
  <c r="D45" i="12"/>
  <c r="D41" i="12"/>
  <c r="D37" i="12"/>
  <c r="D35" i="12"/>
  <c r="D34" i="12"/>
  <c r="D33" i="12"/>
  <c r="D31" i="12"/>
  <c r="D30" i="12"/>
  <c r="D27" i="12"/>
  <c r="D26" i="12"/>
  <c r="D25" i="12"/>
  <c r="D22" i="12"/>
  <c r="D20" i="12"/>
  <c r="D18" i="12"/>
  <c r="D16" i="12"/>
  <c r="D14" i="12"/>
  <c r="D13" i="12"/>
  <c r="D12" i="12"/>
  <c r="D10" i="12"/>
  <c r="D8" i="12"/>
  <c r="D63" i="11"/>
  <c r="D59" i="11"/>
  <c r="D58" i="11"/>
  <c r="D57" i="11"/>
  <c r="D56" i="11"/>
  <c r="D55" i="11"/>
  <c r="D54" i="11"/>
  <c r="D53" i="11"/>
  <c r="D50" i="11"/>
  <c r="D49" i="11"/>
  <c r="D48" i="11"/>
  <c r="D45" i="11"/>
  <c r="D44" i="11"/>
  <c r="D41" i="11"/>
  <c r="D36" i="11"/>
  <c r="D34" i="11"/>
  <c r="D32" i="11"/>
  <c r="D30" i="11"/>
  <c r="D28" i="11"/>
  <c r="D27" i="11"/>
  <c r="D26" i="11"/>
  <c r="D22" i="11"/>
  <c r="D19" i="11"/>
  <c r="D18" i="11"/>
  <c r="D14" i="11"/>
  <c r="D11" i="11"/>
  <c r="D10" i="11"/>
  <c r="D63" i="10"/>
  <c r="D61" i="10"/>
  <c r="C60" i="10"/>
  <c r="D59" i="10"/>
  <c r="D58" i="10"/>
  <c r="D56" i="10"/>
  <c r="D55" i="10"/>
  <c r="D54" i="10"/>
  <c r="D51" i="10"/>
  <c r="D50" i="10"/>
  <c r="D49" i="10"/>
  <c r="D47" i="10"/>
  <c r="D46" i="10"/>
  <c r="D45" i="10"/>
  <c r="D43" i="10"/>
  <c r="D40" i="10"/>
  <c r="D36" i="10"/>
  <c r="D35" i="10"/>
  <c r="D34" i="10"/>
  <c r="D32" i="10"/>
  <c r="D31" i="10"/>
  <c r="D30" i="10"/>
  <c r="D28" i="10"/>
  <c r="D26" i="10"/>
  <c r="D22" i="10"/>
  <c r="D20" i="10"/>
  <c r="D18" i="10"/>
  <c r="D16" i="10"/>
  <c r="D14" i="10"/>
  <c r="D12" i="10"/>
  <c r="D10" i="10"/>
  <c r="D8" i="10"/>
  <c r="D63" i="9"/>
  <c r="D59" i="9"/>
  <c r="D58" i="9"/>
  <c r="D56" i="9"/>
  <c r="D55" i="9"/>
  <c r="D54" i="9"/>
  <c r="D51" i="9"/>
  <c r="D49" i="9"/>
  <c r="D47" i="9"/>
  <c r="D45" i="9"/>
  <c r="D40" i="9"/>
  <c r="D36" i="9"/>
  <c r="D34" i="9"/>
  <c r="D32" i="9"/>
  <c r="D30" i="9"/>
  <c r="D28" i="9"/>
  <c r="D26" i="9"/>
  <c r="D23" i="9"/>
  <c r="D22" i="9"/>
  <c r="D20" i="9"/>
  <c r="D18" i="9"/>
  <c r="D16" i="9"/>
  <c r="D14" i="9"/>
  <c r="D12" i="9"/>
  <c r="D10" i="9"/>
  <c r="D8" i="9"/>
  <c r="D63" i="8"/>
  <c r="D59" i="8"/>
  <c r="D58" i="8"/>
  <c r="D56" i="8"/>
  <c r="D55" i="8"/>
  <c r="D54" i="8"/>
  <c r="D50" i="8"/>
  <c r="D49" i="8"/>
  <c r="D48" i="8"/>
  <c r="D45" i="8"/>
  <c r="D41" i="8"/>
  <c r="D40" i="8"/>
  <c r="D35" i="8"/>
  <c r="D34" i="8"/>
  <c r="D31" i="8"/>
  <c r="D30" i="8"/>
  <c r="D26" i="8"/>
  <c r="D25" i="8"/>
  <c r="D23" i="8"/>
  <c r="D22" i="8"/>
  <c r="D21" i="8"/>
  <c r="D20" i="8"/>
  <c r="D19" i="8"/>
  <c r="D18" i="8"/>
  <c r="D17" i="8"/>
  <c r="D16" i="8"/>
  <c r="D15" i="8"/>
  <c r="D14" i="8"/>
  <c r="D13" i="8"/>
  <c r="D12" i="8"/>
  <c r="D10" i="8"/>
  <c r="D8" i="8"/>
  <c r="D7" i="8"/>
  <c r="D64" i="7"/>
  <c r="D59" i="7"/>
  <c r="D58" i="7"/>
  <c r="D54" i="7"/>
  <c r="D53" i="7"/>
  <c r="D49" i="7"/>
  <c r="D48" i="7"/>
  <c r="D45" i="7"/>
  <c r="D44" i="7"/>
  <c r="D40" i="7"/>
  <c r="D35" i="7"/>
  <c r="D34" i="7"/>
  <c r="D33" i="7"/>
  <c r="D30" i="7"/>
  <c r="D29" i="7"/>
  <c r="D27" i="7"/>
  <c r="D26" i="7"/>
  <c r="D25" i="7"/>
  <c r="D23" i="7"/>
  <c r="D22" i="7"/>
  <c r="D18" i="7"/>
  <c r="D17" i="7"/>
  <c r="D14" i="7"/>
  <c r="D13" i="7"/>
  <c r="D10" i="7"/>
  <c r="D64" i="6"/>
  <c r="D63" i="6"/>
  <c r="D59" i="6"/>
  <c r="D58" i="6"/>
  <c r="D56" i="6"/>
  <c r="D55" i="6"/>
  <c r="D54" i="6"/>
  <c r="D51" i="6"/>
  <c r="D49" i="6"/>
  <c r="D48" i="6"/>
  <c r="D47" i="6"/>
  <c r="D45" i="6"/>
  <c r="D44" i="6"/>
  <c r="D43" i="6"/>
  <c r="D40" i="6"/>
  <c r="D36" i="6"/>
  <c r="D34" i="6"/>
  <c r="D32" i="6"/>
  <c r="D30" i="6"/>
  <c r="D29" i="6"/>
  <c r="D28" i="6"/>
  <c r="D26" i="6"/>
  <c r="D25" i="6"/>
  <c r="D23" i="6"/>
  <c r="D22" i="6"/>
  <c r="D19" i="6"/>
  <c r="D18" i="6"/>
  <c r="D15" i="6"/>
  <c r="D14" i="6"/>
  <c r="D13" i="6"/>
  <c r="D10" i="6"/>
  <c r="D7" i="6"/>
  <c r="D58" i="5"/>
  <c r="D57" i="5"/>
  <c r="D55" i="5"/>
  <c r="D54" i="5"/>
  <c r="D49" i="5"/>
  <c r="D48" i="5"/>
  <c r="D45" i="5"/>
  <c r="D44" i="5"/>
  <c r="D41" i="5"/>
  <c r="D40" i="5"/>
  <c r="D37" i="5"/>
  <c r="D34" i="5"/>
  <c r="D31" i="5"/>
  <c r="D30" i="5"/>
  <c r="D29" i="5"/>
  <c r="D26" i="5"/>
  <c r="D25" i="5"/>
  <c r="D22" i="5"/>
  <c r="D21" i="5"/>
  <c r="D19" i="5"/>
  <c r="D18" i="5"/>
  <c r="D14" i="5"/>
  <c r="D13" i="5"/>
  <c r="D10" i="5"/>
  <c r="D7" i="5"/>
  <c r="D63" i="3"/>
  <c r="D59" i="3"/>
  <c r="D58" i="3"/>
  <c r="D56" i="3"/>
  <c r="D55" i="3"/>
  <c r="D54" i="3"/>
  <c r="D51" i="3"/>
  <c r="D50" i="3"/>
  <c r="D49" i="3"/>
  <c r="D47" i="3"/>
  <c r="D46" i="3"/>
  <c r="D45" i="3"/>
  <c r="D43" i="3"/>
  <c r="D41" i="3"/>
  <c r="D40" i="3"/>
  <c r="D36" i="3"/>
  <c r="D35" i="3"/>
  <c r="D34" i="3"/>
  <c r="D32" i="3"/>
  <c r="D31" i="3"/>
  <c r="D30" i="3"/>
  <c r="D28" i="3"/>
  <c r="D27" i="3"/>
  <c r="D26" i="3"/>
  <c r="D23" i="3"/>
  <c r="D22" i="3"/>
  <c r="D20" i="3"/>
  <c r="D19" i="3"/>
  <c r="D18" i="3"/>
  <c r="D16" i="3"/>
  <c r="D15" i="3"/>
  <c r="D14" i="3"/>
  <c r="D12" i="3"/>
  <c r="D10" i="3"/>
  <c r="D8" i="3"/>
  <c r="D7" i="3"/>
  <c r="D61" i="18"/>
  <c r="D59" i="18"/>
  <c r="D56" i="18"/>
  <c r="D55" i="18"/>
  <c r="D53" i="18"/>
  <c r="D51" i="18"/>
  <c r="D50" i="18"/>
  <c r="D48" i="18"/>
  <c r="D47" i="18"/>
  <c r="D46" i="18"/>
  <c r="D43" i="18"/>
  <c r="D41" i="18"/>
  <c r="D36" i="18"/>
  <c r="D35" i="18"/>
  <c r="D34" i="18"/>
  <c r="D32" i="18"/>
  <c r="D31" i="18"/>
  <c r="D30" i="18"/>
  <c r="D28" i="18"/>
  <c r="D27" i="18"/>
  <c r="D26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8" i="18"/>
  <c r="D7" i="18"/>
  <c r="C6" i="18"/>
  <c r="D29" i="19"/>
  <c r="D37" i="19"/>
  <c r="C34" i="20"/>
  <c r="D24" i="14" l="1"/>
  <c r="D24" i="15"/>
  <c r="D24" i="12"/>
  <c r="D6" i="12" s="1"/>
  <c r="D42" i="6"/>
  <c r="D53" i="10"/>
  <c r="D52" i="10" s="1"/>
  <c r="C52" i="10"/>
  <c r="C52" i="18"/>
  <c r="C60" i="18"/>
  <c r="C38" i="17"/>
  <c r="D63" i="18"/>
  <c r="D60" i="18" s="1"/>
  <c r="D53" i="8"/>
  <c r="D52" i="8" s="1"/>
  <c r="C38" i="18"/>
  <c r="D24" i="11"/>
  <c r="D38" i="11" s="1"/>
  <c r="C52" i="11"/>
  <c r="C60" i="11"/>
  <c r="D24" i="9"/>
  <c r="D6" i="9" s="1"/>
  <c r="C6" i="8"/>
  <c r="C38" i="6"/>
  <c r="D24" i="13"/>
  <c r="D6" i="13" s="1"/>
  <c r="C38" i="8"/>
  <c r="D42" i="8"/>
  <c r="C6" i="6"/>
  <c r="C52" i="6"/>
  <c r="C60" i="17"/>
  <c r="D13" i="3"/>
  <c r="C42" i="5"/>
  <c r="D24" i="5"/>
  <c r="D38" i="5" s="1"/>
  <c r="D8" i="6"/>
  <c r="C42" i="7"/>
  <c r="D24" i="7"/>
  <c r="D38" i="7" s="1"/>
  <c r="C38" i="9"/>
  <c r="C52" i="15"/>
  <c r="D52" i="15"/>
  <c r="D52" i="16"/>
  <c r="C52" i="16"/>
  <c r="D60" i="16"/>
  <c r="D24" i="16"/>
  <c r="D52" i="17"/>
  <c r="D24" i="17"/>
  <c r="C42" i="18"/>
  <c r="D54" i="18"/>
  <c r="D52" i="18" s="1"/>
  <c r="D60" i="22"/>
  <c r="D24" i="22"/>
  <c r="D38" i="22" s="1"/>
  <c r="D52" i="22"/>
  <c r="D7" i="22"/>
  <c r="C38" i="22"/>
  <c r="C39" i="22"/>
  <c r="D43" i="22"/>
  <c r="D42" i="22" s="1"/>
  <c r="D39" i="22" s="1"/>
  <c r="D42" i="18"/>
  <c r="D42" i="3"/>
  <c r="D24" i="18"/>
  <c r="D6" i="18" s="1"/>
  <c r="C42" i="3"/>
  <c r="C39" i="3" s="1"/>
  <c r="C6" i="5"/>
  <c r="D42" i="7"/>
  <c r="C42" i="8"/>
  <c r="C39" i="8" s="1"/>
  <c r="D53" i="3"/>
  <c r="D52" i="3" s="1"/>
  <c r="D61" i="3"/>
  <c r="D60" i="3" s="1"/>
  <c r="C60" i="5"/>
  <c r="C52" i="7"/>
  <c r="C60" i="7"/>
  <c r="D11" i="9"/>
  <c r="C42" i="9"/>
  <c r="C6" i="10"/>
  <c r="D7" i="10"/>
  <c r="D48" i="10"/>
  <c r="D42" i="10" s="1"/>
  <c r="C42" i="10"/>
  <c r="C38" i="5"/>
  <c r="D42" i="5"/>
  <c r="C42" i="6"/>
  <c r="C6" i="7"/>
  <c r="C38" i="7"/>
  <c r="C52" i="9"/>
  <c r="D53" i="9"/>
  <c r="D52" i="9" s="1"/>
  <c r="D21" i="3"/>
  <c r="C52" i="5"/>
  <c r="D53" i="6"/>
  <c r="D52" i="6" s="1"/>
  <c r="D61" i="6"/>
  <c r="D60" i="6" s="1"/>
  <c r="D11" i="3"/>
  <c r="D11" i="6"/>
  <c r="D11" i="8"/>
  <c r="C60" i="8"/>
  <c r="C6" i="9"/>
  <c r="D43" i="9"/>
  <c r="D42" i="9" s="1"/>
  <c r="C60" i="9"/>
  <c r="D61" i="9"/>
  <c r="D60" i="9" s="1"/>
  <c r="D40" i="11"/>
  <c r="D48" i="12"/>
  <c r="D42" i="12" s="1"/>
  <c r="C42" i="12"/>
  <c r="C6" i="14"/>
  <c r="D7" i="14"/>
  <c r="C42" i="14"/>
  <c r="D43" i="14"/>
  <c r="D42" i="14" s="1"/>
  <c r="C38" i="15"/>
  <c r="D11" i="15"/>
  <c r="D24" i="3"/>
  <c r="D52" i="5"/>
  <c r="D60" i="5"/>
  <c r="D24" i="6"/>
  <c r="D52" i="7"/>
  <c r="D60" i="7"/>
  <c r="D24" i="8"/>
  <c r="D6" i="8" s="1"/>
  <c r="D60" i="8"/>
  <c r="D11" i="10"/>
  <c r="C38" i="10"/>
  <c r="D24" i="10"/>
  <c r="D41" i="10"/>
  <c r="D42" i="11"/>
  <c r="D40" i="12"/>
  <c r="C6" i="13"/>
  <c r="D60" i="10"/>
  <c r="D52" i="11"/>
  <c r="D60" i="11"/>
  <c r="D52" i="12"/>
  <c r="D60" i="12"/>
  <c r="C60" i="13"/>
  <c r="D61" i="13"/>
  <c r="D60" i="13" s="1"/>
  <c r="C6" i="11"/>
  <c r="C38" i="11"/>
  <c r="C42" i="11"/>
  <c r="C6" i="12"/>
  <c r="C38" i="12"/>
  <c r="C52" i="12"/>
  <c r="C60" i="12"/>
  <c r="D63" i="15"/>
  <c r="D60" i="15" s="1"/>
  <c r="C60" i="15"/>
  <c r="C6" i="17"/>
  <c r="D7" i="17"/>
  <c r="C42" i="13"/>
  <c r="D43" i="13"/>
  <c r="D42" i="13" s="1"/>
  <c r="C60" i="14"/>
  <c r="D61" i="14"/>
  <c r="D60" i="14" s="1"/>
  <c r="D40" i="16"/>
  <c r="C52" i="17"/>
  <c r="C52" i="13"/>
  <c r="D53" i="13"/>
  <c r="D52" i="13" s="1"/>
  <c r="C52" i="14"/>
  <c r="D53" i="14"/>
  <c r="D52" i="14" s="1"/>
  <c r="C38" i="16"/>
  <c r="D11" i="16"/>
  <c r="C42" i="16"/>
  <c r="D43" i="16"/>
  <c r="D42" i="16" s="1"/>
  <c r="C60" i="16"/>
  <c r="D60" i="17"/>
  <c r="C38" i="13"/>
  <c r="C38" i="14"/>
  <c r="D11" i="14"/>
  <c r="C6" i="15"/>
  <c r="D7" i="15"/>
  <c r="D8" i="16"/>
  <c r="C6" i="16"/>
  <c r="C42" i="15"/>
  <c r="C42" i="17"/>
  <c r="D13" i="17"/>
  <c r="D42" i="15"/>
  <c r="D42" i="17"/>
  <c r="D38" i="14" l="1"/>
  <c r="D39" i="17"/>
  <c r="D38" i="12"/>
  <c r="D39" i="6"/>
  <c r="D38" i="9"/>
  <c r="C39" i="5"/>
  <c r="D38" i="13"/>
  <c r="D6" i="6"/>
  <c r="D38" i="16"/>
  <c r="C39" i="11"/>
  <c r="D6" i="11"/>
  <c r="C39" i="6"/>
  <c r="D6" i="16"/>
  <c r="D6" i="7"/>
  <c r="D38" i="17"/>
  <c r="D39" i="9"/>
  <c r="D6" i="15"/>
  <c r="C39" i="13"/>
  <c r="D38" i="15"/>
  <c r="D6" i="14"/>
  <c r="D6" i="5"/>
  <c r="D39" i="8"/>
  <c r="D6" i="17"/>
  <c r="D38" i="6"/>
  <c r="D39" i="15"/>
  <c r="C39" i="18"/>
  <c r="C39" i="17"/>
  <c r="C39" i="16"/>
  <c r="D6" i="22"/>
  <c r="D39" i="14"/>
  <c r="D39" i="13"/>
  <c r="C39" i="12"/>
  <c r="C39" i="7"/>
  <c r="C39" i="10"/>
  <c r="D39" i="7"/>
  <c r="D38" i="3"/>
  <c r="D6" i="3"/>
  <c r="D39" i="5"/>
  <c r="C39" i="9"/>
  <c r="D38" i="10"/>
  <c r="D39" i="10"/>
  <c r="C39" i="15"/>
  <c r="D38" i="18"/>
  <c r="D39" i="18"/>
  <c r="D39" i="11"/>
  <c r="D39" i="3"/>
  <c r="D6" i="10"/>
  <c r="D39" i="16"/>
  <c r="D39" i="12"/>
  <c r="C39" i="14"/>
  <c r="D38" i="8"/>
  <c r="C37" i="20" l="1"/>
  <c r="C57" i="23" s="1"/>
  <c r="C54" i="23"/>
  <c r="F37" i="19"/>
  <c r="F37" i="18"/>
  <c r="F37" i="17"/>
  <c r="F37" i="16"/>
  <c r="F37" i="15"/>
  <c r="F37" i="14"/>
  <c r="F37" i="13"/>
  <c r="F37" i="12"/>
  <c r="F37" i="11"/>
  <c r="F37" i="10"/>
  <c r="F37" i="9"/>
  <c r="F37" i="8"/>
  <c r="F37" i="7"/>
  <c r="F37" i="6"/>
  <c r="F37" i="5"/>
  <c r="F37" i="3"/>
  <c r="F37" i="22"/>
  <c r="E37" i="18"/>
  <c r="E37" i="17"/>
  <c r="E37" i="16"/>
  <c r="E37" i="15"/>
  <c r="E37" i="14"/>
  <c r="E37" i="13"/>
  <c r="E37" i="12"/>
  <c r="E37" i="11"/>
  <c r="E37" i="10"/>
  <c r="E37" i="9"/>
  <c r="E37" i="8"/>
  <c r="E37" i="7"/>
  <c r="E37" i="6"/>
  <c r="E37" i="5"/>
  <c r="E37" i="3"/>
  <c r="F34" i="7"/>
  <c r="F34" i="16"/>
  <c r="F34" i="15"/>
  <c r="F34" i="12"/>
  <c r="F34" i="11"/>
  <c r="F34" i="8"/>
  <c r="F34" i="3"/>
  <c r="D34" i="19"/>
  <c r="F34" i="19" s="1"/>
  <c r="E34" i="16"/>
  <c r="E34" i="15"/>
  <c r="E34" i="12"/>
  <c r="E34" i="11"/>
  <c r="E34" i="8"/>
  <c r="E34" i="7"/>
  <c r="E34" i="3"/>
  <c r="D37" i="20" l="1"/>
  <c r="D57" i="23" s="1"/>
  <c r="E57" i="23" s="1"/>
  <c r="E37" i="19"/>
  <c r="E37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D10" i="19"/>
  <c r="D11" i="19"/>
  <c r="D12" i="19"/>
  <c r="F57" i="23" l="1"/>
  <c r="F37" i="20"/>
  <c r="E37" i="20"/>
  <c r="D34" i="20"/>
  <c r="F25" i="13"/>
  <c r="F14" i="12"/>
  <c r="E10" i="17"/>
  <c r="E10" i="13"/>
  <c r="E14" i="9"/>
  <c r="E12" i="19"/>
  <c r="E58" i="8"/>
  <c r="D23" i="23"/>
  <c r="F23" i="23" s="1"/>
  <c r="F36" i="10"/>
  <c r="F81" i="23"/>
  <c r="E53" i="22"/>
  <c r="A1" i="3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22"/>
  <c r="A1" i="20"/>
  <c r="A1" i="19"/>
  <c r="E41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D30" i="19"/>
  <c r="F30" i="19" s="1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6" i="19"/>
  <c r="E36" i="19" s="1"/>
  <c r="E58" i="22"/>
  <c r="D22" i="19"/>
  <c r="D18" i="19"/>
  <c r="F18" i="19" s="1"/>
  <c r="D14" i="19"/>
  <c r="D8" i="19"/>
  <c r="F8" i="19" s="1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D15" i="19"/>
  <c r="E15" i="19" s="1"/>
  <c r="D16" i="19"/>
  <c r="D17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2" i="19"/>
  <c r="C42" i="19"/>
  <c r="F41" i="18"/>
  <c r="E44" i="18"/>
  <c r="F49" i="18"/>
  <c r="E51" i="18"/>
  <c r="F54" i="18"/>
  <c r="E59" i="18"/>
  <c r="F41" i="17"/>
  <c r="E43" i="17"/>
  <c r="E44" i="17"/>
  <c r="E48" i="17"/>
  <c r="F53" i="17"/>
  <c r="E57" i="17"/>
  <c r="F58" i="17"/>
  <c r="F59" i="17"/>
  <c r="E41" i="16"/>
  <c r="E44" i="16"/>
  <c r="E46" i="16"/>
  <c r="E49" i="16"/>
  <c r="F51" i="16"/>
  <c r="E53" i="16"/>
  <c r="E56" i="16"/>
  <c r="F41" i="15"/>
  <c r="E45" i="15"/>
  <c r="E47" i="15"/>
  <c r="F49" i="15"/>
  <c r="E51" i="15"/>
  <c r="E53" i="15"/>
  <c r="F54" i="15"/>
  <c r="E57" i="15"/>
  <c r="E59" i="15"/>
  <c r="F43" i="14"/>
  <c r="E46" i="14"/>
  <c r="E50" i="14"/>
  <c r="E53" i="14"/>
  <c r="E54" i="14"/>
  <c r="E57" i="14"/>
  <c r="E58" i="14"/>
  <c r="E43" i="13"/>
  <c r="F44" i="13"/>
  <c r="F48" i="13"/>
  <c r="F49" i="13"/>
  <c r="E50" i="13"/>
  <c r="E51" i="13"/>
  <c r="E53" i="13"/>
  <c r="F54" i="13"/>
  <c r="E56" i="13"/>
  <c r="F59" i="13"/>
  <c r="E43" i="12"/>
  <c r="F44" i="12"/>
  <c r="E45" i="12"/>
  <c r="E46" i="12"/>
  <c r="F48" i="12"/>
  <c r="F53" i="12"/>
  <c r="F56" i="12"/>
  <c r="E57" i="12"/>
  <c r="E58" i="12"/>
  <c r="F43" i="11"/>
  <c r="E45" i="11"/>
  <c r="E47" i="11"/>
  <c r="F48" i="11"/>
  <c r="E51" i="11"/>
  <c r="E53" i="11"/>
  <c r="E55" i="11"/>
  <c r="F58" i="11"/>
  <c r="F41" i="10"/>
  <c r="F44" i="10"/>
  <c r="F45" i="10"/>
  <c r="F46" i="10"/>
  <c r="E48" i="10"/>
  <c r="E51" i="10"/>
  <c r="E53" i="10"/>
  <c r="F54" i="10"/>
  <c r="F56" i="10"/>
  <c r="E59" i="10"/>
  <c r="E41" i="9"/>
  <c r="E43" i="9"/>
  <c r="E47" i="9"/>
  <c r="F48" i="9"/>
  <c r="E54" i="9"/>
  <c r="E55" i="9"/>
  <c r="F56" i="9"/>
  <c r="E58" i="9"/>
  <c r="F43" i="8"/>
  <c r="E44" i="8"/>
  <c r="E46" i="8"/>
  <c r="E48" i="8"/>
  <c r="F49" i="8"/>
  <c r="E50" i="8"/>
  <c r="F51" i="8"/>
  <c r="E53" i="8"/>
  <c r="E54" i="8"/>
  <c r="E59" i="8"/>
  <c r="F41" i="7"/>
  <c r="E45" i="7"/>
  <c r="F48" i="7"/>
  <c r="E53" i="7"/>
  <c r="E54" i="7"/>
  <c r="E56" i="7"/>
  <c r="F58" i="7"/>
  <c r="F59" i="7"/>
  <c r="F41" i="6"/>
  <c r="E43" i="6"/>
  <c r="F44" i="6"/>
  <c r="F45" i="6"/>
  <c r="F50" i="6"/>
  <c r="E54" i="6"/>
  <c r="E56" i="6"/>
  <c r="F58" i="6"/>
  <c r="E41" i="5"/>
  <c r="E43" i="5"/>
  <c r="E44" i="5"/>
  <c r="F45" i="5"/>
  <c r="F48" i="5"/>
  <c r="E49" i="5"/>
  <c r="E51" i="5"/>
  <c r="E55" i="5"/>
  <c r="F56" i="5"/>
  <c r="F58" i="5"/>
  <c r="F59" i="5"/>
  <c r="E41" i="3"/>
  <c r="E44" i="3"/>
  <c r="E46" i="3"/>
  <c r="F48" i="3"/>
  <c r="E49" i="3"/>
  <c r="E55" i="3"/>
  <c r="E57" i="3"/>
  <c r="D41" i="19"/>
  <c r="D43" i="19"/>
  <c r="D44" i="19"/>
  <c r="F44" i="19" s="1"/>
  <c r="D45" i="19"/>
  <c r="E45" i="19" s="1"/>
  <c r="D46" i="19"/>
  <c r="D47" i="19"/>
  <c r="D48" i="19"/>
  <c r="F48" i="19" s="1"/>
  <c r="D49" i="19"/>
  <c r="D50" i="19"/>
  <c r="D51" i="19"/>
  <c r="D53" i="19"/>
  <c r="D54" i="19"/>
  <c r="D55" i="19"/>
  <c r="D56" i="19"/>
  <c r="F56" i="19" s="1"/>
  <c r="D57" i="19"/>
  <c r="E57" i="19" s="1"/>
  <c r="D58" i="19"/>
  <c r="D59" i="19"/>
  <c r="E59" i="19" s="1"/>
  <c r="F40" i="17"/>
  <c r="E40" i="16"/>
  <c r="E40" i="15"/>
  <c r="F40" i="13"/>
  <c r="E40" i="12"/>
  <c r="E40" i="9"/>
  <c r="E40" i="8"/>
  <c r="E40" i="7"/>
  <c r="F40" i="3"/>
  <c r="D40" i="19"/>
  <c r="E40" i="19" s="1"/>
  <c r="F41" i="22"/>
  <c r="D31" i="19"/>
  <c r="D32" i="19"/>
  <c r="E32" i="19" s="1"/>
  <c r="D33" i="19"/>
  <c r="D35" i="19"/>
  <c r="D61" i="19"/>
  <c r="E61" i="19" s="1"/>
  <c r="F62" i="19"/>
  <c r="D63" i="19"/>
  <c r="E63" i="19" s="1"/>
  <c r="F64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C6" i="19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D13" i="19"/>
  <c r="E13" i="19" s="1"/>
  <c r="D19" i="19"/>
  <c r="E19" i="19" s="1"/>
  <c r="D20" i="19"/>
  <c r="D21" i="19"/>
  <c r="E21" i="19" s="1"/>
  <c r="D23" i="19"/>
  <c r="F23" i="19" s="1"/>
  <c r="D25" i="19"/>
  <c r="D26" i="19"/>
  <c r="D27" i="19"/>
  <c r="E27" i="19" s="1"/>
  <c r="D28" i="19"/>
  <c r="E28" i="19" s="1"/>
  <c r="D7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C42" i="23" s="1"/>
  <c r="F22" i="9"/>
  <c r="F16" i="12"/>
  <c r="E18" i="12"/>
  <c r="E16" i="9"/>
  <c r="E20" i="9"/>
  <c r="E22" i="9"/>
  <c r="E16" i="6"/>
  <c r="E36" i="17"/>
  <c r="F36" i="16"/>
  <c r="E36" i="15"/>
  <c r="F36" i="12"/>
  <c r="F36" i="11"/>
  <c r="F36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8" i="22"/>
  <c r="F47" i="9"/>
  <c r="F18" i="3"/>
  <c r="F28" i="3"/>
  <c r="F31" i="3"/>
  <c r="F33" i="3"/>
  <c r="E35" i="3"/>
  <c r="F35" i="3"/>
  <c r="F46" i="3"/>
  <c r="F47" i="3"/>
  <c r="F55" i="3"/>
  <c r="F57" i="3"/>
  <c r="E61" i="3"/>
  <c r="F61" i="3"/>
  <c r="F63" i="3"/>
  <c r="F64" i="3"/>
  <c r="F28" i="5"/>
  <c r="F33" i="5"/>
  <c r="F35" i="5"/>
  <c r="F46" i="5"/>
  <c r="F47" i="5"/>
  <c r="F50" i="5"/>
  <c r="F55" i="5"/>
  <c r="F57" i="5"/>
  <c r="F62" i="5"/>
  <c r="E63" i="5"/>
  <c r="F63" i="5"/>
  <c r="F65" i="5"/>
  <c r="F28" i="6"/>
  <c r="F33" i="6"/>
  <c r="F35" i="6"/>
  <c r="F46" i="6"/>
  <c r="F47" i="6"/>
  <c r="F55" i="6"/>
  <c r="F57" i="6"/>
  <c r="F61" i="6"/>
  <c r="F63" i="6"/>
  <c r="F28" i="7"/>
  <c r="F31" i="7"/>
  <c r="F33" i="7"/>
  <c r="F35" i="7"/>
  <c r="F46" i="7"/>
  <c r="F47" i="7"/>
  <c r="F55" i="7"/>
  <c r="F57" i="7"/>
  <c r="F61" i="7"/>
  <c r="F63" i="7"/>
  <c r="F28" i="8"/>
  <c r="F33" i="8"/>
  <c r="F35" i="8"/>
  <c r="F44" i="8"/>
  <c r="F47" i="8"/>
  <c r="F55" i="8"/>
  <c r="F57" i="8"/>
  <c r="F62" i="8"/>
  <c r="F63" i="8"/>
  <c r="E65" i="8"/>
  <c r="F28" i="9"/>
  <c r="F33" i="9"/>
  <c r="F35" i="9"/>
  <c r="F55" i="9"/>
  <c r="F57" i="9"/>
  <c r="E63" i="9"/>
  <c r="F63" i="9"/>
  <c r="F28" i="10"/>
  <c r="F30" i="10"/>
  <c r="F33" i="10"/>
  <c r="F35" i="10"/>
  <c r="F47" i="10"/>
  <c r="F51" i="10"/>
  <c r="F55" i="10"/>
  <c r="F57" i="10"/>
  <c r="F61" i="10"/>
  <c r="E62" i="10"/>
  <c r="F63" i="10"/>
  <c r="F28" i="11"/>
  <c r="F33" i="11"/>
  <c r="E35" i="11"/>
  <c r="F35" i="11"/>
  <c r="F46" i="11"/>
  <c r="F47" i="11"/>
  <c r="F55" i="11"/>
  <c r="F57" i="11"/>
  <c r="F61" i="11"/>
  <c r="F63" i="11"/>
  <c r="F65" i="11"/>
  <c r="F28" i="12"/>
  <c r="F33" i="12"/>
  <c r="F35" i="12"/>
  <c r="F43" i="12"/>
  <c r="F46" i="12"/>
  <c r="F47" i="12"/>
  <c r="F55" i="12"/>
  <c r="F57" i="12"/>
  <c r="E59" i="12"/>
  <c r="F61" i="12"/>
  <c r="F62" i="12"/>
  <c r="F63" i="12"/>
  <c r="E16" i="13"/>
  <c r="F16" i="13"/>
  <c r="F28" i="13"/>
  <c r="F30" i="13"/>
  <c r="F33" i="13"/>
  <c r="F35" i="13"/>
  <c r="F47" i="13"/>
  <c r="F55" i="13"/>
  <c r="F57" i="13"/>
  <c r="F61" i="13"/>
  <c r="E62" i="13"/>
  <c r="F63" i="13"/>
  <c r="F28" i="14"/>
  <c r="F33" i="14"/>
  <c r="F35" i="14"/>
  <c r="F46" i="14"/>
  <c r="F47" i="14"/>
  <c r="E49" i="14"/>
  <c r="F55" i="14"/>
  <c r="F57" i="14"/>
  <c r="F61" i="14"/>
  <c r="E62" i="14"/>
  <c r="F63" i="14"/>
  <c r="F28" i="15"/>
  <c r="F30" i="15"/>
  <c r="F31" i="15"/>
  <c r="F33" i="15"/>
  <c r="F35" i="15"/>
  <c r="F46" i="15"/>
  <c r="F47" i="15"/>
  <c r="F55" i="15"/>
  <c r="F57" i="15"/>
  <c r="F61" i="15"/>
  <c r="F63" i="15"/>
  <c r="F64" i="15"/>
  <c r="F28" i="16"/>
  <c r="F33" i="16"/>
  <c r="F35" i="16"/>
  <c r="F45" i="16"/>
  <c r="F47" i="16"/>
  <c r="F55" i="16"/>
  <c r="F57" i="16"/>
  <c r="F61" i="16"/>
  <c r="F63" i="16"/>
  <c r="F28" i="17"/>
  <c r="F33" i="17"/>
  <c r="F35" i="17"/>
  <c r="F46" i="17"/>
  <c r="F47" i="17"/>
  <c r="F55" i="17"/>
  <c r="F57" i="17"/>
  <c r="F61" i="17"/>
  <c r="E62" i="17"/>
  <c r="E63" i="17"/>
  <c r="F63" i="17"/>
  <c r="F28" i="18"/>
  <c r="E32" i="18"/>
  <c r="F33" i="18"/>
  <c r="F35" i="18"/>
  <c r="F47" i="18"/>
  <c r="F51" i="18"/>
  <c r="F55" i="18"/>
  <c r="F57" i="18"/>
  <c r="F61" i="18"/>
  <c r="F63" i="18"/>
  <c r="F64" i="18"/>
  <c r="F28" i="19"/>
  <c r="F31" i="19"/>
  <c r="F33" i="19"/>
  <c r="F35" i="19"/>
  <c r="F47" i="19"/>
  <c r="F55" i="19"/>
  <c r="F57" i="19"/>
  <c r="C60" i="19"/>
  <c r="F61" i="19"/>
  <c r="F63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5" i="20"/>
  <c r="C36" i="20"/>
  <c r="C56" i="23" s="1"/>
  <c r="C40" i="20"/>
  <c r="C61" i="23" s="1"/>
  <c r="C41" i="20"/>
  <c r="C62" i="23" s="1"/>
  <c r="C43" i="20"/>
  <c r="C64" i="23" s="1"/>
  <c r="C44" i="20"/>
  <c r="C65" i="23" s="1"/>
  <c r="C45" i="20"/>
  <c r="C66" i="23" s="1"/>
  <c r="C46" i="20"/>
  <c r="C67" i="23" s="1"/>
  <c r="C47" i="20"/>
  <c r="C48" i="20"/>
  <c r="C49" i="20"/>
  <c r="C70" i="23" s="1"/>
  <c r="C50" i="20"/>
  <c r="C71" i="23" s="1"/>
  <c r="C51" i="20"/>
  <c r="C72" i="23" s="1"/>
  <c r="C53" i="20"/>
  <c r="C54" i="20"/>
  <c r="C75" i="23" s="1"/>
  <c r="C55" i="20"/>
  <c r="C76" i="23" s="1"/>
  <c r="F76" i="23" s="1"/>
  <c r="C56" i="20"/>
  <c r="C77" i="23" s="1"/>
  <c r="C57" i="20"/>
  <c r="C78" i="23" s="1"/>
  <c r="C58" i="20"/>
  <c r="C79" i="23" s="1"/>
  <c r="C59" i="20"/>
  <c r="C80" i="23" s="1"/>
  <c r="C61" i="20"/>
  <c r="C83" i="23" s="1"/>
  <c r="C62" i="20"/>
  <c r="C84" i="23" s="1"/>
  <c r="C63" i="20"/>
  <c r="C85" i="23" s="1"/>
  <c r="C64" i="20"/>
  <c r="C86" i="23" s="1"/>
  <c r="C65" i="20"/>
  <c r="C90" i="23" s="1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5" i="22"/>
  <c r="E36" i="22"/>
  <c r="F36" i="22"/>
  <c r="E45" i="22"/>
  <c r="F45" i="22"/>
  <c r="F47" i="22"/>
  <c r="E48" i="22"/>
  <c r="E55" i="22"/>
  <c r="F55" i="22"/>
  <c r="F57" i="22"/>
  <c r="E59" i="22"/>
  <c r="F61" i="22"/>
  <c r="E62" i="22"/>
  <c r="F63" i="22"/>
  <c r="F64" i="22"/>
  <c r="E65" i="22"/>
  <c r="F65" i="22"/>
  <c r="C6" i="23"/>
  <c r="D7" i="23"/>
  <c r="E7" i="23" s="1"/>
  <c r="D8" i="23"/>
  <c r="E8" i="23" s="1"/>
  <c r="C9" i="23"/>
  <c r="F10" i="23"/>
  <c r="F11" i="23"/>
  <c r="C12" i="23"/>
  <c r="D13" i="23"/>
  <c r="F13" i="23" s="1"/>
  <c r="D14" i="23"/>
  <c r="E14" i="23" s="1"/>
  <c r="C15" i="23"/>
  <c r="D16" i="23"/>
  <c r="E16" i="23" s="1"/>
  <c r="D17" i="23"/>
  <c r="F17" i="23" s="1"/>
  <c r="E18" i="23"/>
  <c r="D20" i="23"/>
  <c r="E20" i="23" s="1"/>
  <c r="D21" i="23"/>
  <c r="E21" i="23" s="1"/>
  <c r="D25" i="23"/>
  <c r="C87" i="23"/>
  <c r="E88" i="23"/>
  <c r="E89" i="23"/>
  <c r="C25" i="20"/>
  <c r="C45" i="23" s="1"/>
  <c r="F49" i="9"/>
  <c r="F46" i="9"/>
  <c r="F16" i="15"/>
  <c r="F18" i="12"/>
  <c r="F53" i="22"/>
  <c r="F12" i="18"/>
  <c r="E26" i="9"/>
  <c r="F14" i="15"/>
  <c r="E14" i="15"/>
  <c r="F15" i="15"/>
  <c r="E18" i="15"/>
  <c r="F62" i="22"/>
  <c r="F40" i="22"/>
  <c r="F46" i="22"/>
  <c r="E40" i="22"/>
  <c r="E63" i="22"/>
  <c r="E61" i="22"/>
  <c r="E49" i="22"/>
  <c r="E44" i="22"/>
  <c r="E31" i="22"/>
  <c r="E30" i="22"/>
  <c r="E29" i="22"/>
  <c r="E47" i="12"/>
  <c r="E46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8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4" i="22"/>
  <c r="F48" i="22"/>
  <c r="E57" i="22"/>
  <c r="F49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4" i="10"/>
  <c r="F58" i="14"/>
  <c r="F43" i="16"/>
  <c r="F41" i="11"/>
  <c r="E49" i="10"/>
  <c r="F49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1" i="22"/>
  <c r="F12" i="19"/>
  <c r="F21" i="23" l="1"/>
  <c r="D54" i="23"/>
  <c r="F34" i="20"/>
  <c r="F25" i="19"/>
  <c r="D24" i="19"/>
  <c r="E24" i="19" s="1"/>
  <c r="F59" i="10"/>
  <c r="E45" i="3"/>
  <c r="E57" i="8"/>
  <c r="E19" i="14"/>
  <c r="F12" i="8"/>
  <c r="E49" i="18"/>
  <c r="F9" i="23"/>
  <c r="E7" i="14"/>
  <c r="F27" i="7"/>
  <c r="E7" i="17"/>
  <c r="E43" i="7"/>
  <c r="E7" i="15"/>
  <c r="E7" i="10"/>
  <c r="E7" i="16"/>
  <c r="E7" i="6"/>
  <c r="E7" i="19"/>
  <c r="F58" i="18"/>
  <c r="F49" i="19"/>
  <c r="F25" i="8"/>
  <c r="F29" i="18"/>
  <c r="E26" i="18"/>
  <c r="E53" i="17"/>
  <c r="C39" i="19"/>
  <c r="E34" i="20"/>
  <c r="E11" i="11"/>
  <c r="E56" i="12"/>
  <c r="F40" i="8"/>
  <c r="E54" i="18"/>
  <c r="E41" i="15"/>
  <c r="F43" i="6"/>
  <c r="F8" i="14"/>
  <c r="E8" i="14"/>
  <c r="E15" i="17"/>
  <c r="E21" i="16"/>
  <c r="E47" i="8"/>
  <c r="E47" i="16"/>
  <c r="F13" i="8"/>
  <c r="F89" i="23"/>
  <c r="F36" i="15"/>
  <c r="F29" i="11"/>
  <c r="F17" i="16"/>
  <c r="F29" i="7"/>
  <c r="F25" i="11"/>
  <c r="F26" i="14"/>
  <c r="E65" i="11"/>
  <c r="E29" i="14"/>
  <c r="F54" i="7"/>
  <c r="F58" i="8"/>
  <c r="F11" i="8"/>
  <c r="E58" i="16"/>
  <c r="D6" i="23"/>
  <c r="E6" i="23" s="1"/>
  <c r="E19" i="11"/>
  <c r="F29" i="14"/>
  <c r="E11" i="12"/>
  <c r="F13" i="16"/>
  <c r="E48" i="11"/>
  <c r="E14" i="14"/>
  <c r="E36" i="11"/>
  <c r="F7" i="15"/>
  <c r="E57" i="9"/>
  <c r="E44" i="9"/>
  <c r="F58" i="12"/>
  <c r="F54" i="11"/>
  <c r="E33" i="5"/>
  <c r="E8" i="11"/>
  <c r="F27" i="13"/>
  <c r="E33" i="9"/>
  <c r="E41" i="17"/>
  <c r="F36" i="6"/>
  <c r="F64" i="10"/>
  <c r="F56" i="18"/>
  <c r="F22" i="3"/>
  <c r="F41" i="12"/>
  <c r="F53" i="9"/>
  <c r="F22" i="10"/>
  <c r="E61" i="17"/>
  <c r="E36" i="6"/>
  <c r="E48" i="3"/>
  <c r="F65" i="10"/>
  <c r="F25" i="23"/>
  <c r="F20" i="23"/>
  <c r="E53" i="9"/>
  <c r="E41" i="6"/>
  <c r="F43" i="7"/>
  <c r="F56" i="8"/>
  <c r="F56" i="7"/>
  <c r="E45" i="5"/>
  <c r="E23" i="6"/>
  <c r="F44" i="9"/>
  <c r="E50" i="12"/>
  <c r="E44" i="10"/>
  <c r="E54" i="11"/>
  <c r="E44" i="19"/>
  <c r="F25" i="14"/>
  <c r="E27" i="13"/>
  <c r="E15" i="11"/>
  <c r="F7" i="6"/>
  <c r="E25" i="11"/>
  <c r="E51" i="7"/>
  <c r="E51" i="8"/>
  <c r="F51" i="7"/>
  <c r="F12" i="11"/>
  <c r="F19" i="14"/>
  <c r="E43" i="8"/>
  <c r="E40" i="3"/>
  <c r="E55" i="6"/>
  <c r="E21" i="14"/>
  <c r="E29" i="16"/>
  <c r="F9" i="14"/>
  <c r="E40" i="13"/>
  <c r="E54" i="16"/>
  <c r="E50" i="16"/>
  <c r="E48" i="9"/>
  <c r="E53" i="3"/>
  <c r="F26" i="5"/>
  <c r="F29" i="16"/>
  <c r="F23" i="17"/>
  <c r="E33" i="8"/>
  <c r="E56" i="8"/>
  <c r="F50" i="13"/>
  <c r="E55" i="12"/>
  <c r="F11" i="10"/>
  <c r="E47" i="5"/>
  <c r="F64" i="8"/>
  <c r="E9" i="10"/>
  <c r="E45" i="10"/>
  <c r="E51" i="6"/>
  <c r="F40" i="7"/>
  <c r="F50" i="3"/>
  <c r="F48" i="17"/>
  <c r="E58" i="18"/>
  <c r="E48" i="13"/>
  <c r="E46" i="15"/>
  <c r="E33" i="14"/>
  <c r="E13" i="5"/>
  <c r="F20" i="8"/>
  <c r="E31" i="15"/>
  <c r="E57" i="7"/>
  <c r="F19" i="15"/>
  <c r="F49" i="14"/>
  <c r="E64" i="8"/>
  <c r="E52" i="22"/>
  <c r="E11" i="10"/>
  <c r="E43" i="15"/>
  <c r="E12" i="10"/>
  <c r="E25" i="16"/>
  <c r="E54" i="13"/>
  <c r="E65" i="5"/>
  <c r="F9" i="10"/>
  <c r="E30" i="15"/>
  <c r="E32" i="5"/>
  <c r="E41" i="11"/>
  <c r="F53" i="13"/>
  <c r="E43" i="11"/>
  <c r="E44" i="12"/>
  <c r="F59" i="9"/>
  <c r="F15" i="14"/>
  <c r="E17" i="18"/>
  <c r="E31" i="8"/>
  <c r="E35" i="15"/>
  <c r="E55" i="15"/>
  <c r="E64" i="18"/>
  <c r="E65" i="10"/>
  <c r="F36" i="17"/>
  <c r="E63" i="7"/>
  <c r="E50" i="5"/>
  <c r="F9" i="11"/>
  <c r="F54" i="6"/>
  <c r="F7" i="13"/>
  <c r="E23" i="7"/>
  <c r="F26" i="16"/>
  <c r="E46" i="17"/>
  <c r="E13" i="3"/>
  <c r="E32" i="3"/>
  <c r="E36" i="16"/>
  <c r="E22" i="6"/>
  <c r="F30" i="14"/>
  <c r="E10" i="5"/>
  <c r="E32" i="12"/>
  <c r="F58" i="13"/>
  <c r="F51" i="14"/>
  <c r="E43" i="3"/>
  <c r="F45" i="13"/>
  <c r="F41" i="3"/>
  <c r="F43" i="5"/>
  <c r="F45" i="12"/>
  <c r="F50" i="7"/>
  <c r="E14" i="5"/>
  <c r="E27" i="5"/>
  <c r="E29" i="11"/>
  <c r="F8" i="7"/>
  <c r="F23" i="7"/>
  <c r="F12" i="10"/>
  <c r="F18" i="5"/>
  <c r="E15" i="14"/>
  <c r="F17" i="7"/>
  <c r="E18" i="7"/>
  <c r="E26" i="6"/>
  <c r="F19" i="16"/>
  <c r="E45" i="13"/>
  <c r="E55" i="19"/>
  <c r="E21" i="8"/>
  <c r="F17" i="3"/>
  <c r="F40" i="11"/>
  <c r="F48" i="15"/>
  <c r="E8" i="7"/>
  <c r="F51" i="15"/>
  <c r="E36" i="10"/>
  <c r="E47" i="14"/>
  <c r="F8" i="18"/>
  <c r="E18" i="8"/>
  <c r="E30" i="19"/>
  <c r="F10" i="14"/>
  <c r="F51" i="3"/>
  <c r="F45" i="7"/>
  <c r="E47" i="18"/>
  <c r="E53" i="12"/>
  <c r="E17" i="5"/>
  <c r="E8" i="5"/>
  <c r="F21" i="5"/>
  <c r="F17" i="11"/>
  <c r="F8" i="5"/>
  <c r="F13" i="19"/>
  <c r="E17" i="8"/>
  <c r="F23" i="18"/>
  <c r="F26" i="12"/>
  <c r="E19" i="10"/>
  <c r="E49" i="13"/>
  <c r="E61" i="10"/>
  <c r="F22" i="6"/>
  <c r="F20" i="10"/>
  <c r="F21" i="11"/>
  <c r="E40" i="11"/>
  <c r="E64" i="3"/>
  <c r="E26" i="16"/>
  <c r="E24" i="13"/>
  <c r="F32" i="12"/>
  <c r="E62" i="18"/>
  <c r="F65" i="14"/>
  <c r="E36" i="3"/>
  <c r="F36" i="9"/>
  <c r="E36" i="9"/>
  <c r="E44" i="14"/>
  <c r="E55" i="16"/>
  <c r="F41" i="16"/>
  <c r="E53" i="18"/>
  <c r="F53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5" i="15"/>
  <c r="F43" i="17"/>
  <c r="F44" i="18"/>
  <c r="E62" i="19"/>
  <c r="E15" i="8"/>
  <c r="F20" i="16"/>
  <c r="E26" i="19"/>
  <c r="F26" i="19"/>
  <c r="F21" i="7"/>
  <c r="F16" i="7"/>
  <c r="E16" i="7"/>
  <c r="E59" i="13"/>
  <c r="F46" i="13"/>
  <c r="E46" i="13"/>
  <c r="E41" i="13"/>
  <c r="F41" i="13"/>
  <c r="F53" i="15"/>
  <c r="F44" i="15"/>
  <c r="E50" i="17"/>
  <c r="E7" i="18"/>
  <c r="F7" i="18"/>
  <c r="E28" i="18"/>
  <c r="F27" i="8"/>
  <c r="E27" i="8"/>
  <c r="E14" i="8"/>
  <c r="E51" i="3"/>
  <c r="E53" i="5"/>
  <c r="F50" i="8"/>
  <c r="F50" i="16"/>
  <c r="F49" i="12"/>
  <c r="E54" i="15"/>
  <c r="E43" i="18"/>
  <c r="E32" i="17"/>
  <c r="F16" i="18"/>
  <c r="F27" i="6"/>
  <c r="F32" i="15"/>
  <c r="E28" i="6"/>
  <c r="E48" i="5"/>
  <c r="E51" i="14"/>
  <c r="E57" i="5"/>
  <c r="E49" i="12"/>
  <c r="E59" i="17"/>
  <c r="F43" i="18"/>
  <c r="F58" i="15"/>
  <c r="E56" i="9"/>
  <c r="E14" i="10"/>
  <c r="F20" i="19"/>
  <c r="F32" i="7"/>
  <c r="F21" i="17"/>
  <c r="E31" i="7"/>
  <c r="E19" i="16"/>
  <c r="E55" i="17"/>
  <c r="E49" i="15"/>
  <c r="E56" i="18"/>
  <c r="E61" i="12"/>
  <c r="F27" i="3"/>
  <c r="F48" i="18"/>
  <c r="F64" i="12"/>
  <c r="F61" i="9"/>
  <c r="E61" i="9"/>
  <c r="E33" i="19"/>
  <c r="F22" i="12"/>
  <c r="E22" i="16"/>
  <c r="F22" i="16"/>
  <c r="E10" i="8"/>
  <c r="E30" i="17"/>
  <c r="F30" i="17"/>
  <c r="E30" i="8"/>
  <c r="E29" i="5"/>
  <c r="E29" i="15"/>
  <c r="F51" i="13"/>
  <c r="E47" i="13"/>
  <c r="E59" i="16"/>
  <c r="E57" i="18"/>
  <c r="F27" i="15"/>
  <c r="E8" i="15"/>
  <c r="F8" i="15"/>
  <c r="F27" i="16"/>
  <c r="E27" i="16"/>
  <c r="F56" i="13"/>
  <c r="E19" i="5"/>
  <c r="E31" i="5"/>
  <c r="F32" i="13"/>
  <c r="E23" i="8"/>
  <c r="F44" i="14"/>
  <c r="E28" i="5"/>
  <c r="F40" i="5"/>
  <c r="E40" i="5"/>
  <c r="E47" i="19"/>
  <c r="F44" i="11"/>
  <c r="E44" i="11"/>
  <c r="F54" i="12"/>
  <c r="E54" i="12"/>
  <c r="F56" i="14"/>
  <c r="E56" i="14"/>
  <c r="E19" i="18"/>
  <c r="F22" i="8"/>
  <c r="F26" i="15"/>
  <c r="E26" i="15"/>
  <c r="E32" i="16"/>
  <c r="F32" i="16"/>
  <c r="F43" i="10"/>
  <c r="F22" i="11"/>
  <c r="F16" i="19"/>
  <c r="F18" i="8"/>
  <c r="E40" i="18"/>
  <c r="F50" i="17"/>
  <c r="E20" i="16"/>
  <c r="F65" i="17"/>
  <c r="E65" i="17"/>
  <c r="F59" i="16"/>
  <c r="F62" i="3"/>
  <c r="E62" i="3"/>
  <c r="E19" i="7"/>
  <c r="F19" i="7"/>
  <c r="E13" i="10"/>
  <c r="E25" i="17"/>
  <c r="F20" i="17"/>
  <c r="C38" i="19"/>
  <c r="E32" i="11"/>
  <c r="E27" i="14"/>
  <c r="E58" i="7"/>
  <c r="F56" i="11"/>
  <c r="E56" i="11"/>
  <c r="F51" i="11"/>
  <c r="E33" i="6"/>
  <c r="E7" i="5"/>
  <c r="F17" i="14"/>
  <c r="F45" i="8"/>
  <c r="E46" i="9"/>
  <c r="F50" i="10"/>
  <c r="E12" i="7"/>
  <c r="E7" i="12"/>
  <c r="F40" i="10"/>
  <c r="E40" i="10"/>
  <c r="F9" i="3"/>
  <c r="E24" i="22"/>
  <c r="F13" i="3"/>
  <c r="E49" i="8"/>
  <c r="E59" i="9"/>
  <c r="E54" i="19"/>
  <c r="E55" i="10"/>
  <c r="E64" i="19"/>
  <c r="E18" i="10"/>
  <c r="E31" i="3"/>
  <c r="E36" i="8"/>
  <c r="F36" i="13"/>
  <c r="E41" i="14"/>
  <c r="F44" i="16"/>
  <c r="E58" i="17"/>
  <c r="F50" i="18"/>
  <c r="E7" i="8"/>
  <c r="F7" i="8"/>
  <c r="E27" i="18"/>
  <c r="E31" i="16"/>
  <c r="F30" i="5"/>
  <c r="F30" i="6"/>
  <c r="E30" i="10"/>
  <c r="E11" i="5"/>
  <c r="F11" i="5"/>
  <c r="F12" i="5"/>
  <c r="E9" i="12"/>
  <c r="F46" i="19"/>
  <c r="F43" i="15"/>
  <c r="E50" i="10"/>
  <c r="E49" i="19"/>
  <c r="E46" i="19"/>
  <c r="E20" i="14"/>
  <c r="F15" i="11"/>
  <c r="E20" i="15"/>
  <c r="F32" i="6"/>
  <c r="E8" i="16"/>
  <c r="E33" i="16"/>
  <c r="E13" i="16"/>
  <c r="F25" i="16"/>
  <c r="E25" i="15"/>
  <c r="E45" i="8"/>
  <c r="E56" i="15"/>
  <c r="E13" i="14"/>
  <c r="E50" i="3"/>
  <c r="F41" i="9"/>
  <c r="E54" i="17"/>
  <c r="F41" i="14"/>
  <c r="E63" i="11"/>
  <c r="F59" i="8"/>
  <c r="F54" i="8"/>
  <c r="E35" i="8"/>
  <c r="F15" i="19"/>
  <c r="E15" i="7"/>
  <c r="E7" i="7"/>
  <c r="F7" i="7"/>
  <c r="E8" i="10"/>
  <c r="F8" i="10"/>
  <c r="F54" i="19"/>
  <c r="E49" i="6"/>
  <c r="F49" i="6"/>
  <c r="E41" i="7"/>
  <c r="E55" i="8"/>
  <c r="E47" i="10"/>
  <c r="E63" i="13"/>
  <c r="F7" i="11"/>
  <c r="E21" i="10"/>
  <c r="F41" i="19"/>
  <c r="E41" i="19"/>
  <c r="E50" i="9"/>
  <c r="E7" i="9"/>
  <c r="F7" i="9"/>
  <c r="F23" i="11"/>
  <c r="F21" i="10"/>
  <c r="E26" i="10"/>
  <c r="E40" i="17"/>
  <c r="E62" i="12"/>
  <c r="E16" i="3"/>
  <c r="F16" i="3"/>
  <c r="E57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6" i="13"/>
  <c r="E44" i="6"/>
  <c r="E57" i="6"/>
  <c r="F18" i="10"/>
  <c r="E61" i="14"/>
  <c r="F62" i="10"/>
  <c r="E65" i="9"/>
  <c r="F65" i="9"/>
  <c r="F62" i="9"/>
  <c r="E62" i="9"/>
  <c r="F50" i="9"/>
  <c r="F51" i="5"/>
  <c r="F21" i="3"/>
  <c r="F15" i="3"/>
  <c r="E15" i="3"/>
  <c r="F36" i="14"/>
  <c r="E36" i="14"/>
  <c r="F36" i="18"/>
  <c r="E36" i="18"/>
  <c r="F21" i="8"/>
  <c r="E23" i="19"/>
  <c r="E31" i="11"/>
  <c r="E58" i="11"/>
  <c r="E49" i="11"/>
  <c r="F49" i="11"/>
  <c r="F59" i="12"/>
  <c r="F54" i="14"/>
  <c r="E51" i="16"/>
  <c r="F44" i="17"/>
  <c r="F45" i="18"/>
  <c r="E45" i="18"/>
  <c r="F21" i="18"/>
  <c r="F25" i="6"/>
  <c r="E25" i="6"/>
  <c r="F16" i="8"/>
  <c r="E16" i="8"/>
  <c r="F23" i="15"/>
  <c r="E16" i="16"/>
  <c r="F16" i="16"/>
  <c r="F8" i="17"/>
  <c r="E8" i="17"/>
  <c r="F52" i="22"/>
  <c r="E10" i="3"/>
  <c r="F8" i="23"/>
  <c r="F88" i="23"/>
  <c r="F7" i="23"/>
  <c r="D87" i="23"/>
  <c r="E87" i="23" s="1"/>
  <c r="E81" i="23"/>
  <c r="E23" i="23"/>
  <c r="F22" i="23"/>
  <c r="F18" i="23"/>
  <c r="F14" i="23"/>
  <c r="C19" i="23"/>
  <c r="F24" i="22"/>
  <c r="F53" i="3"/>
  <c r="F44" i="3"/>
  <c r="E23" i="3"/>
  <c r="E17" i="3"/>
  <c r="F36" i="3"/>
  <c r="E21" i="3"/>
  <c r="F49" i="3"/>
  <c r="D54" i="20"/>
  <c r="E54" i="20" s="1"/>
  <c r="E58" i="5"/>
  <c r="F53" i="5"/>
  <c r="F44" i="5"/>
  <c r="E26" i="5"/>
  <c r="E15" i="5"/>
  <c r="D10" i="20"/>
  <c r="E56" i="5"/>
  <c r="F7" i="5"/>
  <c r="E62" i="5"/>
  <c r="F23" i="5"/>
  <c r="F56" i="6"/>
  <c r="E58" i="6"/>
  <c r="F51" i="6"/>
  <c r="E47" i="6"/>
  <c r="E40" i="6"/>
  <c r="F40" i="6"/>
  <c r="F53" i="7"/>
  <c r="F13" i="7"/>
  <c r="F18" i="7"/>
  <c r="E50" i="7"/>
  <c r="E46" i="7"/>
  <c r="F31" i="20"/>
  <c r="F32" i="8"/>
  <c r="E8" i="8"/>
  <c r="F19" i="8"/>
  <c r="F53" i="8"/>
  <c r="F36" i="8"/>
  <c r="E13" i="8"/>
  <c r="F23" i="8"/>
  <c r="F64" i="9"/>
  <c r="E64" i="9"/>
  <c r="F13" i="10"/>
  <c r="E64" i="10"/>
  <c r="E57" i="10"/>
  <c r="F10" i="10"/>
  <c r="E43" i="10"/>
  <c r="F48" i="10"/>
  <c r="E18" i="11"/>
  <c r="E7" i="11"/>
  <c r="F14" i="11"/>
  <c r="F18" i="11"/>
  <c r="E33" i="11"/>
  <c r="F50" i="12"/>
  <c r="F7" i="12"/>
  <c r="E28" i="12"/>
  <c r="E36" i="12"/>
  <c r="E64" i="12"/>
  <c r="E41" i="12"/>
  <c r="E48" i="12"/>
  <c r="D11" i="20"/>
  <c r="E58" i="13"/>
  <c r="E44" i="13"/>
  <c r="E55" i="14"/>
  <c r="E65" i="14"/>
  <c r="F62" i="14"/>
  <c r="F64" i="14"/>
  <c r="F12" i="14"/>
  <c r="D12" i="20"/>
  <c r="E9" i="14"/>
  <c r="F21" i="14"/>
  <c r="E12" i="14"/>
  <c r="E50" i="15"/>
  <c r="E21" i="15"/>
  <c r="E48" i="15"/>
  <c r="E23" i="15"/>
  <c r="D53" i="20"/>
  <c r="D74" i="23" s="1"/>
  <c r="D59" i="20"/>
  <c r="D80" i="23" s="1"/>
  <c r="F80" i="23" s="1"/>
  <c r="E58" i="15"/>
  <c r="F50" i="15"/>
  <c r="E33" i="15"/>
  <c r="E44" i="15"/>
  <c r="F54" i="16"/>
  <c r="E43" i="16"/>
  <c r="F56" i="16"/>
  <c r="F58" i="16"/>
  <c r="E14" i="16"/>
  <c r="E45" i="16"/>
  <c r="D47" i="20"/>
  <c r="E47" i="20" s="1"/>
  <c r="F8" i="16"/>
  <c r="D51" i="20"/>
  <c r="E51" i="20" s="1"/>
  <c r="F25" i="17"/>
  <c r="F14" i="17"/>
  <c r="F7" i="17"/>
  <c r="E33" i="17"/>
  <c r="F54" i="17"/>
  <c r="E35" i="17"/>
  <c r="D36" i="20"/>
  <c r="F36" i="20" s="1"/>
  <c r="E56" i="17"/>
  <c r="D46" i="20"/>
  <c r="D67" i="23" s="1"/>
  <c r="F67" i="23" s="1"/>
  <c r="D57" i="20"/>
  <c r="D78" i="23" s="1"/>
  <c r="F78" i="23" s="1"/>
  <c r="F18" i="18"/>
  <c r="E41" i="18"/>
  <c r="E61" i="18"/>
  <c r="E20" i="18"/>
  <c r="E31" i="18"/>
  <c r="F65" i="18"/>
  <c r="F59" i="18"/>
  <c r="D55" i="20"/>
  <c r="D76" i="23" s="1"/>
  <c r="E76" i="23" s="1"/>
  <c r="D62" i="20"/>
  <c r="F22" i="18"/>
  <c r="E65" i="18"/>
  <c r="F62" i="18"/>
  <c r="F40" i="18"/>
  <c r="F64" i="16"/>
  <c r="E64" i="16"/>
  <c r="E61" i="13"/>
  <c r="E35" i="13"/>
  <c r="E63" i="10"/>
  <c r="E60" i="10"/>
  <c r="E35" i="10"/>
  <c r="E64" i="5"/>
  <c r="F64" i="5"/>
  <c r="E7" i="3"/>
  <c r="E26" i="3"/>
  <c r="F26" i="3"/>
  <c r="E25" i="12"/>
  <c r="F36" i="5"/>
  <c r="E36" i="5"/>
  <c r="E20" i="11"/>
  <c r="F20" i="11"/>
  <c r="F16" i="11"/>
  <c r="E16" i="11"/>
  <c r="E32" i="14"/>
  <c r="F32" i="14"/>
  <c r="E18" i="14"/>
  <c r="F18" i="14"/>
  <c r="F40" i="16"/>
  <c r="F56" i="3"/>
  <c r="E56" i="3"/>
  <c r="F49" i="7"/>
  <c r="F46" i="8"/>
  <c r="E51" i="9"/>
  <c r="F51" i="9"/>
  <c r="E56" i="10"/>
  <c r="F50" i="11"/>
  <c r="E50" i="11"/>
  <c r="F46" i="16"/>
  <c r="F51" i="17"/>
  <c r="E51" i="17"/>
  <c r="F9" i="7"/>
  <c r="E30" i="11"/>
  <c r="F30" i="11"/>
  <c r="F30" i="7"/>
  <c r="E29" i="10"/>
  <c r="F29" i="10"/>
  <c r="F9" i="16"/>
  <c r="F11" i="14"/>
  <c r="E30" i="7"/>
  <c r="F29" i="5"/>
  <c r="F58" i="3"/>
  <c r="E10" i="12"/>
  <c r="F40" i="9"/>
  <c r="D40" i="20"/>
  <c r="F40" i="20" s="1"/>
  <c r="F40" i="12"/>
  <c r="F53" i="11"/>
  <c r="E55" i="18"/>
  <c r="D44" i="20"/>
  <c r="D65" i="23" s="1"/>
  <c r="E65" i="23" s="1"/>
  <c r="E59" i="5"/>
  <c r="F45" i="3"/>
  <c r="F43" i="9"/>
  <c r="E50" i="6"/>
  <c r="F41" i="8"/>
  <c r="F59" i="14"/>
  <c r="E59" i="14"/>
  <c r="D41" i="20"/>
  <c r="F41" i="20" s="1"/>
  <c r="F7" i="14"/>
  <c r="F32" i="17"/>
  <c r="E26" i="14"/>
  <c r="E28" i="17"/>
  <c r="E21" i="17"/>
  <c r="F29" i="12"/>
  <c r="F7" i="3"/>
  <c r="E10" i="16"/>
  <c r="E47" i="17"/>
  <c r="F22" i="7"/>
  <c r="F14" i="7"/>
  <c r="E14" i="7"/>
  <c r="E63" i="12"/>
  <c r="E62" i="11"/>
  <c r="F62" i="11"/>
  <c r="E8" i="9"/>
  <c r="F27" i="12"/>
  <c r="F20" i="12"/>
  <c r="F26" i="17"/>
  <c r="F25" i="3"/>
  <c r="F16" i="14"/>
  <c r="E16" i="14"/>
  <c r="E25" i="5"/>
  <c r="F8" i="13"/>
  <c r="F40" i="14"/>
  <c r="E40" i="14"/>
  <c r="E59" i="6"/>
  <c r="F59" i="6"/>
  <c r="F48" i="8"/>
  <c r="E49" i="9"/>
  <c r="F45" i="9"/>
  <c r="E45" i="9"/>
  <c r="F43" i="13"/>
  <c r="F48" i="14"/>
  <c r="E48" i="14"/>
  <c r="E45" i="14"/>
  <c r="F45" i="14"/>
  <c r="E48" i="16"/>
  <c r="F48" i="16"/>
  <c r="F49" i="17"/>
  <c r="E49" i="17"/>
  <c r="F45" i="17"/>
  <c r="E45" i="17"/>
  <c r="F46" i="18"/>
  <c r="E46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8" i="10"/>
  <c r="F10" i="3"/>
  <c r="F12" i="3"/>
  <c r="E11" i="7"/>
  <c r="D26" i="20"/>
  <c r="D46" i="23" s="1"/>
  <c r="E46" i="23" s="1"/>
  <c r="E9" i="16"/>
  <c r="E58" i="3"/>
  <c r="F53" i="14"/>
  <c r="F59" i="15"/>
  <c r="F50" i="14"/>
  <c r="F56" i="17"/>
  <c r="D49" i="20"/>
  <c r="F49" i="20" s="1"/>
  <c r="E41" i="8"/>
  <c r="E50" i="18"/>
  <c r="D28" i="20"/>
  <c r="E28" i="20" s="1"/>
  <c r="E7" i="13"/>
  <c r="D23" i="20"/>
  <c r="E23" i="20" s="1"/>
  <c r="F16" i="5"/>
  <c r="E33" i="13"/>
  <c r="E27" i="12"/>
  <c r="F23" i="16"/>
  <c r="E35" i="14"/>
  <c r="E28" i="13"/>
  <c r="E49" i="7"/>
  <c r="E48" i="18"/>
  <c r="E58" i="10"/>
  <c r="F56" i="15"/>
  <c r="E65" i="13"/>
  <c r="E61" i="15"/>
  <c r="F65" i="7"/>
  <c r="E65" i="7"/>
  <c r="E28" i="7"/>
  <c r="E27" i="10"/>
  <c r="F27" i="10"/>
  <c r="F15" i="10"/>
  <c r="D15" i="20"/>
  <c r="F62" i="17"/>
  <c r="F62" i="16"/>
  <c r="E62" i="16"/>
  <c r="E64" i="15"/>
  <c r="E35" i="5"/>
  <c r="E65" i="3"/>
  <c r="F65" i="3"/>
  <c r="E28" i="16"/>
  <c r="F12" i="16"/>
  <c r="E12" i="16"/>
  <c r="F64" i="13"/>
  <c r="E64" i="13"/>
  <c r="E62" i="8"/>
  <c r="E33" i="18"/>
  <c r="F45" i="11"/>
  <c r="F49" i="16"/>
  <c r="F22" i="5"/>
  <c r="F65" i="19"/>
  <c r="C55" i="23"/>
  <c r="D56" i="20"/>
  <c r="F56" i="20" s="1"/>
  <c r="E56" i="19"/>
  <c r="F55" i="20"/>
  <c r="E58" i="19"/>
  <c r="F57" i="20"/>
  <c r="D43" i="20"/>
  <c r="F43" i="20" s="1"/>
  <c r="F43" i="19"/>
  <c r="F29" i="19"/>
  <c r="D14" i="20"/>
  <c r="D50" i="20"/>
  <c r="D71" i="23" s="1"/>
  <c r="F40" i="19"/>
  <c r="F7" i="19"/>
  <c r="F14" i="19"/>
  <c r="E43" i="19"/>
  <c r="D45" i="20"/>
  <c r="F45" i="20" s="1"/>
  <c r="F58" i="19"/>
  <c r="D33" i="20"/>
  <c r="D53" i="23" s="1"/>
  <c r="F27" i="19"/>
  <c r="F63" i="20"/>
  <c r="E65" i="19"/>
  <c r="D58" i="20"/>
  <c r="D79" i="23" s="1"/>
  <c r="F79" i="23" s="1"/>
  <c r="F50" i="19"/>
  <c r="E50" i="19"/>
  <c r="E48" i="19"/>
  <c r="F45" i="19"/>
  <c r="E35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4" i="23"/>
  <c r="C52" i="20"/>
  <c r="F28" i="20"/>
  <c r="C48" i="23"/>
  <c r="F64" i="17"/>
  <c r="E64" i="17"/>
  <c r="E63" i="16"/>
  <c r="F65" i="12"/>
  <c r="E61" i="7"/>
  <c r="E61" i="5"/>
  <c r="E31" i="10"/>
  <c r="F17" i="10"/>
  <c r="D19" i="20"/>
  <c r="F19" i="20" s="1"/>
  <c r="E19" i="17"/>
  <c r="F29" i="3"/>
  <c r="E29" i="3"/>
  <c r="E51" i="22"/>
  <c r="D25" i="20"/>
  <c r="D45" i="23" s="1"/>
  <c r="F45" i="23" s="1"/>
  <c r="C69" i="23"/>
  <c r="E26" i="13"/>
  <c r="E31" i="12"/>
  <c r="E63" i="6"/>
  <c r="F13" i="12"/>
  <c r="E22" i="19"/>
  <c r="F22" i="19"/>
  <c r="E11" i="16"/>
  <c r="F9" i="5"/>
  <c r="E30" i="9"/>
  <c r="E30" i="3"/>
  <c r="F30" i="3"/>
  <c r="F29" i="17"/>
  <c r="E29" i="17"/>
  <c r="E29" i="8"/>
  <c r="E29" i="6"/>
  <c r="F54" i="22"/>
  <c r="F50" i="22"/>
  <c r="E50" i="22"/>
  <c r="E10" i="7"/>
  <c r="F11" i="16"/>
  <c r="E11" i="3"/>
  <c r="F32" i="5"/>
  <c r="E27" i="7"/>
  <c r="F11" i="12"/>
  <c r="F26" i="13"/>
  <c r="D61" i="20"/>
  <c r="F64" i="11"/>
  <c r="E64" i="11"/>
  <c r="E63" i="8"/>
  <c r="F64" i="7"/>
  <c r="E64" i="7"/>
  <c r="E62" i="7"/>
  <c r="F62" i="7"/>
  <c r="E62" i="6"/>
  <c r="F62" i="6"/>
  <c r="E56" i="22"/>
  <c r="F56" i="22"/>
  <c r="E47" i="22"/>
  <c r="E29" i="12"/>
  <c r="F53" i="19"/>
  <c r="E53" i="19"/>
  <c r="D48" i="20"/>
  <c r="D69" i="23" s="1"/>
  <c r="F59" i="3"/>
  <c r="E59" i="3"/>
  <c r="E54" i="3"/>
  <c r="F54" i="3"/>
  <c r="E47" i="3"/>
  <c r="F43" i="3"/>
  <c r="E54" i="5"/>
  <c r="F54" i="5"/>
  <c r="F49" i="5"/>
  <c r="E46" i="5"/>
  <c r="F41" i="5"/>
  <c r="E53" i="6"/>
  <c r="F53" i="6"/>
  <c r="E48" i="6"/>
  <c r="F48" i="6"/>
  <c r="E45" i="6"/>
  <c r="E59" i="7"/>
  <c r="E55" i="7"/>
  <c r="E47" i="7"/>
  <c r="F44" i="7"/>
  <c r="E44" i="7"/>
  <c r="F58" i="9"/>
  <c r="F54" i="9"/>
  <c r="E46" i="10"/>
  <c r="E41" i="10"/>
  <c r="E46" i="11"/>
  <c r="E51" i="12"/>
  <c r="F51" i="12"/>
  <c r="E57" i="13"/>
  <c r="F53" i="16"/>
  <c r="E17" i="19"/>
  <c r="F17" i="19"/>
  <c r="E32" i="22"/>
  <c r="F28" i="22"/>
  <c r="E28" i="22"/>
  <c r="F65" i="16"/>
  <c r="E65" i="16"/>
  <c r="E61" i="16"/>
  <c r="E25" i="10"/>
  <c r="E8" i="12"/>
  <c r="F8" i="12"/>
  <c r="E18" i="19"/>
  <c r="E29" i="9"/>
  <c r="F32" i="10"/>
  <c r="E32" i="10"/>
  <c r="C42" i="20"/>
  <c r="E17" i="10"/>
  <c r="D65" i="20"/>
  <c r="E64" i="22"/>
  <c r="E35" i="16"/>
  <c r="D35" i="20"/>
  <c r="E35" i="20" s="1"/>
  <c r="E55" i="13"/>
  <c r="E9" i="5"/>
  <c r="D13" i="20"/>
  <c r="E13" i="20" s="1"/>
  <c r="D27" i="20"/>
  <c r="D17" i="20"/>
  <c r="F17" i="20" s="1"/>
  <c r="D22" i="20"/>
  <c r="F19" i="17"/>
  <c r="E54" i="22"/>
  <c r="D7" i="20"/>
  <c r="E7" i="20" s="1"/>
  <c r="D18" i="20"/>
  <c r="D38" i="23" s="1"/>
  <c r="E38" i="23" s="1"/>
  <c r="E64" i="14"/>
  <c r="D63" i="20"/>
  <c r="D85" i="23" s="1"/>
  <c r="E63" i="14"/>
  <c r="E35" i="7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E33" i="22"/>
  <c r="C60" i="20"/>
  <c r="F47" i="20"/>
  <c r="C68" i="23"/>
  <c r="F68" i="23" s="1"/>
  <c r="E65" i="15"/>
  <c r="F65" i="15"/>
  <c r="E61" i="11"/>
  <c r="E61" i="8"/>
  <c r="F61" i="8"/>
  <c r="F60" i="8"/>
  <c r="E35" i="6"/>
  <c r="E36" i="7"/>
  <c r="E46" i="22"/>
  <c r="E43" i="22"/>
  <c r="F43" i="22"/>
  <c r="F23" i="12"/>
  <c r="E23" i="10"/>
  <c r="E16" i="10"/>
  <c r="F16" i="10"/>
  <c r="F40" i="15"/>
  <c r="F59" i="19"/>
  <c r="F51" i="19"/>
  <c r="E51" i="19"/>
  <c r="F53" i="10"/>
  <c r="F59" i="11"/>
  <c r="E59" i="11"/>
  <c r="E57" i="11"/>
  <c r="E43" i="14"/>
  <c r="D16" i="20"/>
  <c r="E19" i="22"/>
  <c r="E35" i="18"/>
  <c r="F62" i="13"/>
  <c r="E35" i="9"/>
  <c r="F65" i="8"/>
  <c r="F65" i="6"/>
  <c r="E61" i="6"/>
  <c r="E63" i="3"/>
  <c r="E20" i="3"/>
  <c r="F20" i="3"/>
  <c r="E14" i="3"/>
  <c r="F18" i="17"/>
  <c r="F59" i="22"/>
  <c r="D60" i="19"/>
  <c r="F60" i="19" s="1"/>
  <c r="E31" i="19"/>
  <c r="E64" i="6"/>
  <c r="F64" i="6"/>
  <c r="F23" i="14"/>
  <c r="D64" i="20"/>
  <c r="D86" i="23" s="1"/>
  <c r="E52" i="15"/>
  <c r="D42" i="19"/>
  <c r="E42" i="7"/>
  <c r="E52" i="9"/>
  <c r="D52" i="19"/>
  <c r="E13" i="23"/>
  <c r="D12" i="23"/>
  <c r="F12" i="23" s="1"/>
  <c r="D9" i="23"/>
  <c r="C92" i="23"/>
  <c r="D15" i="23"/>
  <c r="E17" i="23"/>
  <c r="E25" i="23"/>
  <c r="F16" i="23"/>
  <c r="E25" i="22"/>
  <c r="E20" i="22"/>
  <c r="E63" i="15"/>
  <c r="E62" i="15"/>
  <c r="F65" i="13"/>
  <c r="E65" i="12"/>
  <c r="E35" i="12"/>
  <c r="E35" i="22"/>
  <c r="E26" i="22"/>
  <c r="E21" i="22"/>
  <c r="E17" i="22"/>
  <c r="E63" i="18"/>
  <c r="F62" i="15"/>
  <c r="E65" i="6"/>
  <c r="F61" i="5"/>
  <c r="E16" i="19"/>
  <c r="D29" i="20"/>
  <c r="E25" i="19"/>
  <c r="E8" i="19"/>
  <c r="E10" i="11"/>
  <c r="E25" i="13"/>
  <c r="E52" i="13"/>
  <c r="F36" i="19"/>
  <c r="F35" i="20" l="1"/>
  <c r="E54" i="23"/>
  <c r="F54" i="23"/>
  <c r="F61" i="20"/>
  <c r="D83" i="23"/>
  <c r="D84" i="23"/>
  <c r="F84" i="23" s="1"/>
  <c r="F33" i="20"/>
  <c r="F6" i="23"/>
  <c r="E9" i="23"/>
  <c r="D6" i="19"/>
  <c r="E6" i="9"/>
  <c r="E60" i="9"/>
  <c r="E60" i="16"/>
  <c r="E10" i="20"/>
  <c r="F51" i="20"/>
  <c r="F60" i="9"/>
  <c r="E60" i="15"/>
  <c r="F10" i="20"/>
  <c r="F60" i="16"/>
  <c r="F60" i="18"/>
  <c r="F60" i="15"/>
  <c r="F87" i="23"/>
  <c r="F11" i="20"/>
  <c r="F54" i="20"/>
  <c r="E12" i="23"/>
  <c r="D75" i="23"/>
  <c r="F75" i="23" s="1"/>
  <c r="E78" i="23"/>
  <c r="E12" i="20"/>
  <c r="F14" i="20"/>
  <c r="D50" i="23"/>
  <c r="E50" i="23" s="1"/>
  <c r="F26" i="20"/>
  <c r="F53" i="20"/>
  <c r="F62" i="20"/>
  <c r="E67" i="23"/>
  <c r="E11" i="20"/>
  <c r="D68" i="23"/>
  <c r="E68" i="23" s="1"/>
  <c r="E36" i="20"/>
  <c r="E57" i="20"/>
  <c r="D56" i="23"/>
  <c r="E56" i="23" s="1"/>
  <c r="F12" i="20"/>
  <c r="E15" i="20"/>
  <c r="E74" i="23"/>
  <c r="E62" i="20"/>
  <c r="E53" i="20"/>
  <c r="F15" i="20"/>
  <c r="E46" i="20"/>
  <c r="D72" i="23"/>
  <c r="E72" i="23" s="1"/>
  <c r="E59" i="20"/>
  <c r="F59" i="20"/>
  <c r="D43" i="23"/>
  <c r="F43" i="23" s="1"/>
  <c r="E55" i="20"/>
  <c r="F18" i="20"/>
  <c r="F46" i="20"/>
  <c r="E19" i="20"/>
  <c r="E44" i="20"/>
  <c r="E49" i="20"/>
  <c r="F38" i="23"/>
  <c r="F65" i="23"/>
  <c r="F9" i="20"/>
  <c r="E60" i="18"/>
  <c r="D48" i="23"/>
  <c r="F48" i="23" s="1"/>
  <c r="F30" i="20"/>
  <c r="F46" i="23"/>
  <c r="E58" i="20"/>
  <c r="E24" i="5"/>
  <c r="F24" i="5"/>
  <c r="E24" i="9"/>
  <c r="E18" i="20"/>
  <c r="F23" i="20"/>
  <c r="F60" i="10"/>
  <c r="D64" i="23"/>
  <c r="E64" i="23" s="1"/>
  <c r="D77" i="23"/>
  <c r="E43" i="20"/>
  <c r="D61" i="23"/>
  <c r="E61" i="23" s="1"/>
  <c r="D70" i="23"/>
  <c r="E70" i="23" s="1"/>
  <c r="E26" i="20"/>
  <c r="E24" i="16"/>
  <c r="F24" i="16"/>
  <c r="F60" i="13"/>
  <c r="E60" i="13"/>
  <c r="D62" i="23"/>
  <c r="E41" i="20"/>
  <c r="E38" i="5"/>
  <c r="F44" i="20"/>
  <c r="F53" i="23"/>
  <c r="E40" i="20"/>
  <c r="F24" i="9"/>
  <c r="F25" i="20"/>
  <c r="D55" i="23"/>
  <c r="E55" i="23" s="1"/>
  <c r="E14" i="20"/>
  <c r="E56" i="20"/>
  <c r="E33" i="20"/>
  <c r="F58" i="20"/>
  <c r="D52" i="20"/>
  <c r="F52" i="20" s="1"/>
  <c r="E45" i="23"/>
  <c r="F20" i="20"/>
  <c r="E53" i="23"/>
  <c r="C44" i="23"/>
  <c r="E45" i="20"/>
  <c r="D66" i="23"/>
  <c r="D40" i="23"/>
  <c r="E40" i="23" s="1"/>
  <c r="E79" i="23"/>
  <c r="F50" i="20"/>
  <c r="E50" i="20"/>
  <c r="F74" i="23"/>
  <c r="E69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2" i="10"/>
  <c r="F52" i="10"/>
  <c r="E24" i="3"/>
  <c r="F24" i="3"/>
  <c r="E24" i="8"/>
  <c r="F24" i="8"/>
  <c r="F6" i="8"/>
  <c r="C82" i="23"/>
  <c r="D51" i="23"/>
  <c r="E51" i="23" s="1"/>
  <c r="E31" i="20"/>
  <c r="D90" i="23"/>
  <c r="F65" i="20"/>
  <c r="E65" i="20"/>
  <c r="F42" i="22"/>
  <c r="E42" i="22"/>
  <c r="E24" i="7"/>
  <c r="F24" i="7"/>
  <c r="F42" i="15"/>
  <c r="E42" i="15"/>
  <c r="F24" i="18"/>
  <c r="E24" i="18"/>
  <c r="F24" i="11"/>
  <c r="E24" i="11"/>
  <c r="F60" i="12"/>
  <c r="E60" i="12"/>
  <c r="E52" i="6"/>
  <c r="F52" i="6"/>
  <c r="E52" i="3"/>
  <c r="F52" i="3"/>
  <c r="F60" i="6"/>
  <c r="E60" i="6"/>
  <c r="C73" i="23"/>
  <c r="D37" i="23"/>
  <c r="D39" i="19"/>
  <c r="E42" i="19"/>
  <c r="F42" i="19"/>
  <c r="F52" i="15"/>
  <c r="F64" i="20"/>
  <c r="E64" i="20"/>
  <c r="E42" i="9"/>
  <c r="F42" i="9"/>
  <c r="E60" i="19"/>
  <c r="E52" i="11"/>
  <c r="F52" i="11"/>
  <c r="E60" i="8"/>
  <c r="F52" i="5"/>
  <c r="E52" i="5"/>
  <c r="F69" i="23"/>
  <c r="F83" i="23"/>
  <c r="E61" i="20"/>
  <c r="E48" i="20"/>
  <c r="F60" i="17"/>
  <c r="E60" i="17"/>
  <c r="D42" i="20"/>
  <c r="C38" i="20"/>
  <c r="F42" i="7"/>
  <c r="F42" i="11"/>
  <c r="F60" i="11"/>
  <c r="E60" i="22"/>
  <c r="F60" i="22"/>
  <c r="D47" i="23"/>
  <c r="E27" i="20"/>
  <c r="F42" i="3"/>
  <c r="E42" i="3"/>
  <c r="F27" i="20"/>
  <c r="E52" i="19"/>
  <c r="F52" i="19"/>
  <c r="F52" i="7"/>
  <c r="E52" i="7"/>
  <c r="F42" i="14"/>
  <c r="E42" i="14"/>
  <c r="E63" i="20"/>
  <c r="E42" i="11"/>
  <c r="D60" i="20"/>
  <c r="F60" i="20" s="1"/>
  <c r="E80" i="23"/>
  <c r="E17" i="20"/>
  <c r="F16" i="20"/>
  <c r="F52" i="9"/>
  <c r="F24" i="12"/>
  <c r="E24" i="12"/>
  <c r="E52" i="12"/>
  <c r="F52" i="12"/>
  <c r="F60" i="3"/>
  <c r="E60" i="3"/>
  <c r="E60" i="11"/>
  <c r="E38" i="16"/>
  <c r="F38" i="16"/>
  <c r="F60" i="14"/>
  <c r="E60" i="14"/>
  <c r="E60" i="5"/>
  <c r="F60" i="5"/>
  <c r="F7" i="20"/>
  <c r="F71" i="23"/>
  <c r="E71" i="23"/>
  <c r="E22" i="20"/>
  <c r="D42" i="23"/>
  <c r="F22" i="20"/>
  <c r="C39" i="20"/>
  <c r="F24" i="10"/>
  <c r="E24" i="10"/>
  <c r="C63" i="23"/>
  <c r="E60" i="7"/>
  <c r="F60" i="7"/>
  <c r="F48" i="20"/>
  <c r="F6" i="9"/>
  <c r="D92" i="23"/>
  <c r="F92" i="23" s="1"/>
  <c r="D19" i="23"/>
  <c r="E15" i="23"/>
  <c r="F15" i="23"/>
  <c r="E52" i="23"/>
  <c r="F52" i="23"/>
  <c r="E42" i="18"/>
  <c r="F42" i="18"/>
  <c r="F42" i="13"/>
  <c r="E42" i="13"/>
  <c r="F42" i="12"/>
  <c r="E42" i="12"/>
  <c r="E52" i="16"/>
  <c r="F52" i="16"/>
  <c r="F42" i="10"/>
  <c r="E42" i="10"/>
  <c r="F24" i="17"/>
  <c r="E24" i="17"/>
  <c r="F52" i="8"/>
  <c r="E52" i="8"/>
  <c r="E24" i="15"/>
  <c r="F24" i="15"/>
  <c r="F42" i="8"/>
  <c r="E42" i="8"/>
  <c r="F52" i="13"/>
  <c r="F24" i="13"/>
  <c r="F42" i="6"/>
  <c r="E42" i="6"/>
  <c r="F24" i="19"/>
  <c r="D38" i="19"/>
  <c r="D24" i="20"/>
  <c r="D6" i="20" s="1"/>
  <c r="D49" i="23"/>
  <c r="F29" i="20"/>
  <c r="E29" i="20"/>
  <c r="F24" i="6"/>
  <c r="E24" i="6"/>
  <c r="E52" i="18"/>
  <c r="F52" i="18"/>
  <c r="F24" i="14"/>
  <c r="E24" i="14"/>
  <c r="F42" i="16"/>
  <c r="E42" i="16"/>
  <c r="F52" i="17"/>
  <c r="E52" i="17"/>
  <c r="F42" i="5"/>
  <c r="E42" i="5"/>
  <c r="F52" i="14"/>
  <c r="E52" i="14"/>
  <c r="E42" i="17"/>
  <c r="F42" i="17"/>
  <c r="F55" i="23" l="1"/>
  <c r="E84" i="23"/>
  <c r="E75" i="23"/>
  <c r="F38" i="5"/>
  <c r="F6" i="5"/>
  <c r="E6" i="5"/>
  <c r="E92" i="23"/>
  <c r="F50" i="23"/>
  <c r="E43" i="23"/>
  <c r="F56" i="23"/>
  <c r="E38" i="8"/>
  <c r="F64" i="23"/>
  <c r="F72" i="23"/>
  <c r="E48" i="23"/>
  <c r="C60" i="23"/>
  <c r="F61" i="23"/>
  <c r="E77" i="23"/>
  <c r="F77" i="23"/>
  <c r="D63" i="23"/>
  <c r="F63" i="23" s="1"/>
  <c r="D73" i="23"/>
  <c r="E73" i="23" s="1"/>
  <c r="E6" i="16"/>
  <c r="F6" i="16"/>
  <c r="E62" i="23"/>
  <c r="F62" i="23"/>
  <c r="F38" i="8"/>
  <c r="F70" i="23"/>
  <c r="E38" i="9"/>
  <c r="F38" i="9"/>
  <c r="E52" i="20"/>
  <c r="D39" i="20"/>
  <c r="E39" i="20" s="1"/>
  <c r="E39" i="23"/>
  <c r="F40" i="23"/>
  <c r="F66" i="23"/>
  <c r="E66" i="23"/>
  <c r="E60" i="20"/>
  <c r="E42" i="20"/>
  <c r="F42" i="20"/>
  <c r="E41" i="23"/>
  <c r="F41" i="23"/>
  <c r="E38" i="3"/>
  <c r="F38" i="3"/>
  <c r="F38" i="10"/>
  <c r="E38" i="10"/>
  <c r="E39" i="7"/>
  <c r="F39" i="7"/>
  <c r="F39" i="9"/>
  <c r="E39" i="9"/>
  <c r="F86" i="23"/>
  <c r="E86" i="23"/>
  <c r="E37" i="23"/>
  <c r="F37" i="23"/>
  <c r="E38" i="11"/>
  <c r="F38" i="11"/>
  <c r="D82" i="23"/>
  <c r="F82" i="23" s="1"/>
  <c r="F85" i="23"/>
  <c r="E85" i="23"/>
  <c r="F38" i="18"/>
  <c r="E38" i="18"/>
  <c r="F39" i="15"/>
  <c r="E39" i="15"/>
  <c r="E6" i="7"/>
  <c r="F6" i="7"/>
  <c r="F90" i="23"/>
  <c r="E90" i="23"/>
  <c r="E83" i="23"/>
  <c r="F38" i="12"/>
  <c r="E38" i="12"/>
  <c r="E47" i="23"/>
  <c r="F47" i="23"/>
  <c r="F39" i="11"/>
  <c r="E39" i="11"/>
  <c r="E38" i="7"/>
  <c r="F38" i="7"/>
  <c r="E6" i="8"/>
  <c r="F42" i="23"/>
  <c r="E42" i="23"/>
  <c r="F6" i="18"/>
  <c r="E6" i="18"/>
  <c r="F39" i="3"/>
  <c r="E39" i="3"/>
  <c r="F39" i="19"/>
  <c r="E39" i="19"/>
  <c r="E6" i="11"/>
  <c r="F6" i="11"/>
  <c r="F39" i="22"/>
  <c r="E39" i="22"/>
  <c r="E6" i="3"/>
  <c r="F6" i="3"/>
  <c r="F19" i="23"/>
  <c r="E19" i="23"/>
  <c r="E39" i="14"/>
  <c r="F39" i="14"/>
  <c r="E38" i="14"/>
  <c r="F38" i="14"/>
  <c r="F49" i="23"/>
  <c r="E49" i="23"/>
  <c r="F6" i="13"/>
  <c r="E6" i="13"/>
  <c r="E6" i="6"/>
  <c r="F6" i="6"/>
  <c r="E38" i="6"/>
  <c r="F38" i="6"/>
  <c r="D44" i="23"/>
  <c r="E24" i="20"/>
  <c r="F24" i="20"/>
  <c r="F6" i="17"/>
  <c r="E6" i="17"/>
  <c r="F39" i="12"/>
  <c r="E39" i="12"/>
  <c r="E39" i="13"/>
  <c r="F39" i="13"/>
  <c r="E39" i="18"/>
  <c r="F39" i="18"/>
  <c r="F39" i="17"/>
  <c r="E39" i="17"/>
  <c r="F39" i="5"/>
  <c r="E39" i="5"/>
  <c r="F39" i="16"/>
  <c r="E39" i="16"/>
  <c r="F6" i="19"/>
  <c r="E6" i="19"/>
  <c r="F39" i="6"/>
  <c r="E39" i="6"/>
  <c r="F6" i="15"/>
  <c r="E6" i="15"/>
  <c r="F6" i="14"/>
  <c r="E6" i="14"/>
  <c r="F38" i="19"/>
  <c r="D38" i="20"/>
  <c r="E38" i="19"/>
  <c r="E38" i="13"/>
  <c r="F38" i="13"/>
  <c r="E39" i="8"/>
  <c r="F39" i="8"/>
  <c r="F38" i="15"/>
  <c r="E38" i="15"/>
  <c r="F38" i="17"/>
  <c r="E38" i="17"/>
  <c r="E39" i="10"/>
  <c r="F39" i="10"/>
  <c r="D60" i="23" l="1"/>
  <c r="F60" i="23" s="1"/>
  <c r="E63" i="23"/>
  <c r="F73" i="23"/>
  <c r="F39" i="20"/>
  <c r="E82" i="23"/>
  <c r="F38" i="20"/>
  <c r="E38" i="20"/>
  <c r="F6" i="20"/>
  <c r="E6" i="20"/>
  <c r="E44" i="23"/>
  <c r="F44" i="23"/>
  <c r="E60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8" i="22"/>
  <c r="C26" i="23" l="1"/>
  <c r="C93" i="23" s="1"/>
  <c r="E34" i="23"/>
  <c r="D30" i="23"/>
  <c r="F30" i="23" s="1"/>
  <c r="D28" i="23"/>
  <c r="E28" i="23" s="1"/>
  <c r="E7" i="22"/>
  <c r="E16" i="22"/>
  <c r="D33" i="23"/>
  <c r="E33" i="23" s="1"/>
  <c r="F34" i="23"/>
  <c r="C58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F27" i="23" l="1"/>
  <c r="D26" i="23"/>
  <c r="D93" i="23" s="1"/>
  <c r="E27" i="23"/>
  <c r="F28" i="23"/>
  <c r="E30" i="23"/>
  <c r="D58" i="23"/>
  <c r="F58" i="23" s="1"/>
  <c r="E38" i="22"/>
  <c r="C24" i="23"/>
  <c r="C59" i="23" s="1"/>
  <c r="F33" i="23"/>
  <c r="F29" i="23"/>
  <c r="E6" i="22"/>
  <c r="E31" i="23"/>
  <c r="F35" i="23"/>
  <c r="F6" i="22"/>
  <c r="F32" i="23"/>
  <c r="E58" i="23" l="1"/>
  <c r="C91" i="23"/>
  <c r="D24" i="23"/>
  <c r="F26" i="23"/>
  <c r="E26" i="23"/>
  <c r="D59" i="23" l="1"/>
  <c r="F24" i="23"/>
  <c r="E24" i="23"/>
  <c r="F93" i="23"/>
  <c r="E93" i="23"/>
  <c r="D91" i="23" l="1"/>
  <c r="F59" i="23"/>
  <c r="E59" i="23"/>
  <c r="E91" i="23" l="1"/>
  <c r="F91" i="23"/>
</calcChain>
</file>

<file path=xl/sharedStrings.xml><?xml version="1.0" encoding="utf-8"?>
<sst xmlns="http://schemas.openxmlformats.org/spreadsheetml/2006/main" count="2484" uniqueCount="202">
  <si>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</si>
  <si>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</si>
  <si>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</si>
  <si>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</si>
  <si>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</si>
  <si>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</si>
  <si>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</si>
  <si>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</si>
  <si>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</si>
  <si>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</si>
  <si>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</si>
  <si>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</si>
  <si>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</si>
  <si>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</si>
  <si>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</si>
  <si>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</si>
  <si>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</si>
  <si>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</si>
  <si>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</si>
  <si>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</si>
  <si>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</si>
  <si>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</si>
  <si>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</si>
  <si>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</si>
  <si>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</si>
  <si>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</si>
  <si>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</si>
  <si>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</si>
  <si>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</si>
  <si>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</si>
  <si>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</si>
  <si>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</si>
  <si>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</si>
  <si>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</si>
  <si>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</si>
  <si>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</si>
  <si>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</si>
  <si>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</si>
  <si>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</si>
  <si>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</si>
  <si>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</si>
  <si>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</si>
  <si>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</si>
  <si>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</si>
  <si>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</si>
  <si>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</si>
  <si>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</si>
  <si>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</si>
  <si>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</si>
  <si>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</si>
  <si>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</si>
  <si>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</si>
  <si>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</si>
  <si>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</si>
  <si>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</si>
  <si>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</si>
  <si>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</si>
  <si>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</si>
  <si>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</si>
  <si>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</si>
  <si>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</si>
  <si>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</si>
  <si>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</si>
  <si>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</si>
  <si>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</si>
  <si>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</si>
  <si>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</si>
  <si>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</si>
  <si>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</si>
  <si>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</si>
  <si>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</si>
  <si>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</si>
  <si>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</si>
  <si>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</si>
  <si>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</si>
  <si>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</si>
  <si>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</si>
  <si>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</si>
  <si>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</si>
  <si>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</si>
  <si>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</si>
  <si>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</si>
  <si>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</si>
  <si>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</si>
  <si>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</si>
  <si>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</si>
  <si>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</si>
  <si>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</si>
  <si>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</si>
  <si>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</si>
  <si>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</si>
  <si>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</si>
  <si>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</si>
  <si>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</si>
  <si>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</si>
  <si>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</si>
  <si>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</si>
  <si>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</si>
  <si>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</si>
  <si>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</si>
  <si>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</si>
  <si>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</si>
  <si>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</si>
  <si>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</si>
  <si>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</si>
  <si>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</si>
  <si>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</si>
  <si>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</si>
  <si>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</si>
  <si>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</si>
  <si>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</si>
  <si>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</si>
  <si>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</si>
  <si>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</si>
  <si>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</si>
  <si>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</si>
  <si>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</si>
  <si>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</si>
  <si>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</si>
  <si>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</si>
  <si>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</si>
  <si>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</si>
  <si>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</si>
  <si>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</si>
  <si>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</si>
  <si>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</si>
  <si>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</si>
  <si>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</si>
  <si>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</si>
  <si>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</si>
  <si>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</si>
  <si>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</si>
  <si>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</si>
  <si>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</si>
  <si>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</si>
  <si>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</si>
  <si>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</si>
  <si>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</si>
  <si>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</si>
  <si>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</si>
  <si>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</si>
  <si>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</si>
  <si>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</si>
  <si>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</si>
  <si>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</si>
  <si>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</si>
  <si>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</si>
  <si>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</si>
  <si>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</si>
  <si>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</si>
  <si>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</si>
  <si>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</si>
  <si>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</si>
  <si>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</si>
  <si>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</si>
  <si>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</si>
  <si>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</si>
  <si>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</si>
  <si>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</si>
  <si>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</si>
  <si>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</si>
  <si>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</si>
  <si>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</si>
  <si>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</si>
  <si>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</si>
  <si>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</si>
  <si>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</si>
  <si>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</si>
  <si>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</si>
  <si>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</si>
  <si>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</si>
  <si>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</si>
  <si>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</si>
  <si>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</si>
  <si>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</si>
  <si>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</si>
  <si>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</si>
  <si>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</si>
  <si>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</si>
  <si>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</si>
  <si>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</si>
  <si>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</si>
  <si>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</si>
  <si>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</si>
  <si>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</si>
  <si>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</si>
  <si>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</si>
  <si>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</si>
  <si>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Plan na
2017 rok</t>
  </si>
  <si>
    <t>Koszty świadczeń opieki zdrowotnej  (B2.1+...+B2.20)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</si>
  <si>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</si>
  <si>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</si>
  <si>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</si>
  <si>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</si>
  <si>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</si>
  <si>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</si>
  <si>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</si>
  <si>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</si>
  <si>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</si>
  <si>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</si>
  <si>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Koszty świadczeń opieki zdrowotnej  (B2.1 + … + B2.20)</t>
  </si>
  <si>
    <t>ZMIANA PLANU FINANSOWEGO NARODOWEGO FUNDUSZU ZDROWIA NA 2017 ROK Z DNIA 8 GRUDNIA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</si>
</sst>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2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7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8" applyFont="1" applyFill="1" applyBorder="1" applyAlignment="1" applyProtection="1">
      <alignment horizontal="left" vertical="center" wrapText="1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168" fontId="17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/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katarzyna.sadowska\Ustawienia%20lokalne\Temporary%20Internet%20Files\OLK78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dyta\2017\Zmiana%20planu%20xx.11.2017%20-%20dotacja%20na%20leczenie%20niep&#322;odno&#347;ci\Zmiana%20planu%20xx.11.2017%20-%20leczenie%20nip&#322;odno&#347;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Z"/>
      <sheetName val="CENTRALA"/>
      <sheetName val="Razem OW"/>
      <sheetName val="Dolnośląski"/>
      <sheetName val="KujawskoPomorski"/>
      <sheetName val="Lubelski"/>
      <sheetName val="Lubuski"/>
      <sheetName val="Łódzki"/>
      <sheetName val="Małopolski"/>
      <sheetName val="Mazowiecki"/>
      <sheetName val="Opolski"/>
      <sheetName val="Podkarpacki"/>
      <sheetName val="Podlaski"/>
      <sheetName val="Pomorski"/>
      <sheetName val="Śląski"/>
      <sheetName val="Świętokrzyski"/>
      <sheetName val="WarmińskoMazurski"/>
      <sheetName val="Wielkopolski"/>
      <sheetName val="Zachodniopomorski"/>
      <sheetName val="Łącznie"/>
      <sheetName val="Plan po zm. łącznie  NFZ"/>
    </sheetNames>
    <sheetDataSet>
      <sheetData sheetId="0">
        <row r="7">
          <cell r="A7" t="str">
            <v>1.1</v>
          </cell>
          <cell r="B7" t="str">
            <v>od ZUS</v>
          </cell>
          <cell r="C7">
            <v>71435346</v>
          </cell>
          <cell r="D7">
            <v>71435346</v>
          </cell>
        </row>
        <row r="8">
          <cell r="A8" t="str">
            <v>1.2</v>
          </cell>
          <cell r="B8" t="str">
            <v>od KRUS</v>
          </cell>
          <cell r="C8">
            <v>3310683</v>
          </cell>
          <cell r="D8">
            <v>3310683</v>
          </cell>
        </row>
        <row r="9">
          <cell r="A9">
            <v>2</v>
          </cell>
          <cell r="B9" t="str">
            <v>Planowany odpis aktualizujący składkę należną (2.1 + 2.2)</v>
          </cell>
          <cell r="C9">
            <v>0</v>
          </cell>
          <cell r="D9">
            <v>0</v>
          </cell>
        </row>
        <row r="10">
          <cell r="A10" t="str">
            <v>2.1</v>
          </cell>
          <cell r="B10" t="str">
            <v>w stosunku do ZUS</v>
          </cell>
          <cell r="C10">
            <v>0</v>
          </cell>
          <cell r="D10">
            <v>0</v>
          </cell>
        </row>
        <row r="11">
          <cell r="A11" t="str">
            <v>2.2</v>
          </cell>
          <cell r="B11" t="str">
            <v>w stosunku do KRUS</v>
          </cell>
          <cell r="C11">
            <v>0</v>
          </cell>
          <cell r="D11">
            <v>0</v>
          </cell>
        </row>
        <row r="12">
          <cell r="A12">
            <v>3</v>
          </cell>
          <cell r="B12" t="str">
            <v>Przychody ze składek z lat ubiegłych (3.1+3.2)</v>
          </cell>
          <cell r="C12">
            <v>135000</v>
          </cell>
          <cell r="D12">
            <v>135000</v>
          </cell>
        </row>
        <row r="13">
          <cell r="A13" t="str">
            <v>3.1</v>
          </cell>
          <cell r="B13" t="str">
            <v>od ZUS</v>
          </cell>
          <cell r="C13">
            <v>150000</v>
          </cell>
          <cell r="D13">
            <v>150000</v>
          </cell>
        </row>
        <row r="14">
          <cell r="A14" t="str">
            <v>3.2</v>
          </cell>
          <cell r="B14" t="str">
            <v>od KRUS</v>
          </cell>
          <cell r="C14">
            <v>-15000</v>
          </cell>
          <cell r="D14">
            <v>-15000</v>
          </cell>
        </row>
        <row r="15">
          <cell r="A15">
            <v>4</v>
          </cell>
          <cell r="B15" t="str">
            <v>Koszt poboru i ewidencjonowania składek (4.1 + 4.2)</v>
          </cell>
          <cell r="C15">
            <v>145768</v>
          </cell>
          <cell r="D15">
            <v>145768</v>
          </cell>
        </row>
        <row r="16">
          <cell r="A16" t="str">
            <v>4.1</v>
          </cell>
          <cell r="B16" t="str">
            <v>koszty poboru i ewidencjonowania składek przez ZUS</v>
          </cell>
          <cell r="C16">
            <v>142871</v>
          </cell>
          <cell r="D16">
            <v>142871</v>
          </cell>
        </row>
        <row r="17">
          <cell r="A17" t="str">
            <v>4.2</v>
          </cell>
          <cell r="B17" t="str">
            <v>koszty poboru i ewidencjonowania składek przez KRUS</v>
          </cell>
          <cell r="C17">
            <v>2897</v>
          </cell>
          <cell r="D17">
            <v>2897</v>
          </cell>
        </row>
        <row r="18">
          <cell r="A18">
            <v>5</v>
          </cell>
          <cell r="B18" t="str">
            <v>Odpis na taryfikację świdczeń, o którym mowa w art. 31t ust. 5-8 ustawy</v>
          </cell>
          <cell r="C18">
            <v>43848</v>
          </cell>
          <cell r="D18">
            <v>43848</v>
          </cell>
        </row>
        <row r="19">
          <cell r="A19" t="str">
            <v>A</v>
          </cell>
          <cell r="B19" t="str">
            <v>Przychody netto z działalności
(1-2+3-4-5) + A1 + A2 + A3 + A4</v>
          </cell>
          <cell r="C19">
            <v>78147968</v>
          </cell>
          <cell r="D19">
            <v>78150772</v>
          </cell>
        </row>
        <row r="20">
          <cell r="A20" t="str">
            <v>A1</v>
          </cell>
          <cell r="B20" t="str">
            <v>przychody wynikające z przepisów o koordynacji</v>
          </cell>
          <cell r="C20">
            <v>199555</v>
          </cell>
          <cell r="D20">
            <v>199555</v>
          </cell>
        </row>
        <row r="21">
          <cell r="A21" t="str">
            <v>A2</v>
          </cell>
          <cell r="B21" t="str">
            <v>przychody z tytułu realizacji zadań zleconych</v>
          </cell>
          <cell r="C21">
            <v>0</v>
          </cell>
          <cell r="D21">
            <v>2804</v>
          </cell>
        </row>
        <row r="22">
          <cell r="A22" t="str">
            <v>A3</v>
          </cell>
          <cell r="B22" t="str">
            <v>dotacje z budżetu państwa na finansowanie zadań, o których mowa w art. 97 ust. 3
pkt 2a-2c, 3 i 3b ustawy</v>
          </cell>
          <cell r="C22">
            <v>1333558</v>
          </cell>
          <cell r="D22">
            <v>1333558</v>
          </cell>
        </row>
        <row r="23">
          <cell r="A23" t="str">
            <v>A4</v>
          </cell>
          <cell r="B23" t="str">
            <v>dotacja z budżetu państwa na realizację zadań zespołów ratownictwa medycznego</v>
          </cell>
          <cell r="C23">
            <v>1923442</v>
          </cell>
          <cell r="D23">
            <v>1923442</v>
          </cell>
        </row>
        <row r="24">
          <cell r="A24" t="str">
            <v>B</v>
          </cell>
          <cell r="B24" t="str">
            <v>Koszty realizacji zadań (B1 + B2 + B3 + B4 + B5)</v>
          </cell>
          <cell r="C24">
            <v>78887210</v>
          </cell>
          <cell r="D24">
            <v>78890014</v>
          </cell>
        </row>
        <row r="25">
          <cell r="A25" t="str">
            <v>B1</v>
          </cell>
          <cell r="B25" t="str">
            <v>Obowiazkowy odpis na rezerwę ogólną</v>
          </cell>
          <cell r="C25">
            <v>0</v>
          </cell>
          <cell r="D25">
            <v>0</v>
          </cell>
        </row>
        <row r="26">
          <cell r="A26" t="str">
            <v>B2</v>
          </cell>
          <cell r="B26" t="str">
            <v>Koszty świadczeń opieki zdrowotnej  (B2.1 + … + B2.20)</v>
          </cell>
          <cell r="C26">
            <v>76399468</v>
          </cell>
          <cell r="D26">
            <v>76399468</v>
          </cell>
        </row>
        <row r="27">
          <cell r="A27" t="str">
            <v>B2.1</v>
          </cell>
          <cell r="B27" t="str">
            <v>podstawowa opieka zdrowotna</v>
          </cell>
          <cell r="C27">
            <v>10170509</v>
          </cell>
          <cell r="D27">
            <v>10170509</v>
          </cell>
        </row>
        <row r="28">
          <cell r="A28" t="str">
            <v>B2.2</v>
          </cell>
          <cell r="B28" t="str">
            <v>ambulatoryjna opieka specjalistyczna</v>
          </cell>
          <cell r="C28">
            <v>5636323</v>
          </cell>
          <cell r="D28">
            <v>5636323</v>
          </cell>
        </row>
        <row r="29">
          <cell r="A29" t="str">
            <v>B2.3</v>
          </cell>
          <cell r="B29" t="str">
            <v>leczenie szpitalne, w tym:</v>
          </cell>
          <cell r="C29">
            <v>38480221</v>
          </cell>
          <cell r="D29">
            <v>38480221</v>
          </cell>
        </row>
        <row r="30">
          <cell r="A30" t="str">
            <v>B2.3.1</v>
          </cell>
          <cell r="B30" t="str">
            <v>programy terapeutyczne (lekowe), w tym:</v>
          </cell>
          <cell r="C30">
            <v>3624798</v>
          </cell>
          <cell r="D30">
            <v>3624798</v>
          </cell>
        </row>
        <row r="31">
          <cell r="A31" t="str">
            <v>B2.3.1.1</v>
          </cell>
          <cell r="B31" t="str">
            <v>leki, środki spożywcze specjalnego przeznaczenia żywieniowego objęte programami lekowymi</v>
          </cell>
          <cell r="C31">
            <v>3294212</v>
          </cell>
          <cell r="D31">
            <v>3294212</v>
          </cell>
        </row>
        <row r="32">
          <cell r="A32" t="str">
            <v>B2.3.2</v>
          </cell>
          <cell r="B32" t="str">
            <v>chemioterapia, w tym:</v>
          </cell>
          <cell r="C32">
            <v>1438758</v>
          </cell>
          <cell r="D32">
            <v>1438758</v>
          </cell>
        </row>
        <row r="33">
          <cell r="A33" t="str">
            <v>B2.3.2.1</v>
          </cell>
          <cell r="B33" t="str">
            <v>leki stosowane w chemioterapii</v>
          </cell>
          <cell r="C33">
            <v>675753</v>
          </cell>
          <cell r="D33">
            <v>675753</v>
          </cell>
        </row>
        <row r="34">
          <cell r="A34" t="str">
            <v>B2.4</v>
          </cell>
          <cell r="B34" t="str">
            <v>opieka psychiatryczna i leczenie uzależnień</v>
          </cell>
          <cell r="C34">
            <v>2685552</v>
          </cell>
          <cell r="D34">
            <v>2685552</v>
          </cell>
        </row>
        <row r="35">
          <cell r="A35" t="str">
            <v>B2.5</v>
          </cell>
          <cell r="B35" t="str">
            <v>rehabilitacja lecznicza</v>
          </cell>
          <cell r="C35">
            <v>2319811</v>
          </cell>
          <cell r="D35">
            <v>2319811</v>
          </cell>
        </row>
        <row r="36">
          <cell r="A36" t="str">
            <v>B2.6</v>
          </cell>
          <cell r="B36" t="str">
            <v>świadczenia pielęgnacyjne i opiekuńcze w ramach opieki długoterminowej</v>
          </cell>
          <cell r="C36">
            <v>1437581</v>
          </cell>
          <cell r="D36">
            <v>1437581</v>
          </cell>
        </row>
        <row r="37">
          <cell r="A37" t="str">
            <v>B2.7</v>
          </cell>
          <cell r="B37" t="str">
            <v>opieka paliatywna i hospicyjna</v>
          </cell>
          <cell r="C37">
            <v>663523</v>
          </cell>
          <cell r="D37">
            <v>663523</v>
          </cell>
        </row>
        <row r="38">
          <cell r="A38" t="str">
            <v>B2.8</v>
          </cell>
          <cell r="B38" t="str">
            <v>leczenie stomatologiczne</v>
          </cell>
          <cell r="C38">
            <v>1834124</v>
          </cell>
          <cell r="D38">
            <v>1834124</v>
          </cell>
        </row>
        <row r="39">
          <cell r="A39" t="str">
            <v>B2.9</v>
          </cell>
          <cell r="B39" t="str">
            <v>lecznictwo uzdrowiskowe</v>
          </cell>
          <cell r="C39">
            <v>660225</v>
          </cell>
          <cell r="D39">
            <v>660225</v>
          </cell>
        </row>
        <row r="40">
          <cell r="A40" t="str">
            <v>B2.10</v>
          </cell>
          <cell r="B40" t="str">
            <v>pomoc doraźna i transport sanitarny</v>
          </cell>
          <cell r="C40">
            <v>49282</v>
          </cell>
          <cell r="D40">
            <v>49282</v>
          </cell>
        </row>
        <row r="41">
          <cell r="A41" t="str">
            <v>B2.11</v>
          </cell>
          <cell r="B41" t="str">
            <v>koszty profilaktycznych programów zdrowotnych finansowanych ze środków własnych Funduszu</v>
          </cell>
          <cell r="C41">
            <v>196199</v>
          </cell>
          <cell r="D41">
            <v>196199</v>
          </cell>
        </row>
        <row r="42">
          <cell r="A42" t="str">
            <v>B2.12</v>
          </cell>
          <cell r="B42" t="str">
            <v>świadczenia opieki zdrowotnej kontraktowane odrębnie</v>
          </cell>
          <cell r="C42">
            <v>2098096</v>
          </cell>
          <cell r="D42">
            <v>2098096</v>
          </cell>
        </row>
        <row r="43">
          <cell r="A43" t="str">
            <v>B2.13</v>
          </cell>
          <cell r="B43" t="str">
            <v>zaopatrzenie w wyroby medyczne oraz ich naprawa, o których mowa w ustawie o refundacji</v>
          </cell>
          <cell r="C43">
            <v>1029387</v>
          </cell>
          <cell r="D43">
            <v>1029387</v>
          </cell>
        </row>
        <row r="44">
          <cell r="A44" t="str">
            <v>B2.14</v>
          </cell>
          <cell r="B44" t="str">
            <v>refundacja, z tego:</v>
          </cell>
          <cell r="C44">
            <v>8286218</v>
          </cell>
          <cell r="D44">
            <v>8286218</v>
          </cell>
        </row>
        <row r="45">
          <cell r="A45" t="str">
            <v>B2.14.1</v>
          </cell>
          <cell r="B45" t="str">
            <v>refundacja leków, środków spożywczych specjalnego przeznaczenia żywieniowego oraz wyrobów medycznych dostępnych w aptece na receptę</v>
          </cell>
          <cell r="C45">
            <v>8251475</v>
          </cell>
          <cell r="D45">
            <v>8251475</v>
          </cell>
        </row>
        <row r="46">
          <cell r="A46" t="str">
            <v>B2.14.2</v>
          </cell>
          <cell r="B46" t="str">
            <v>refundacja leków, o których mowa w art. 15 ust. 2 pkt 17 ustawy</v>
          </cell>
          <cell r="C46">
            <v>20477</v>
          </cell>
          <cell r="D46">
            <v>20477</v>
          </cell>
        </row>
        <row r="47">
          <cell r="A47" t="str">
            <v>B2.14.3</v>
          </cell>
          <cell r="B47" t="str">
            <v>refundacja środków spożywczych specjalnego przeznaczenia żywieniowego, o których mowa w art. 15 ust. 2 pkt 18 ustawy</v>
          </cell>
          <cell r="C47">
            <v>14266</v>
          </cell>
          <cell r="D47">
            <v>14266</v>
          </cell>
        </row>
        <row r="48">
          <cell r="A48" t="str">
            <v>B2.15</v>
          </cell>
          <cell r="B48" t="str">
            <v>rezerwa na koszty realizacji zadań wynikajacych z przepisów o koordynacji</v>
          </cell>
          <cell r="C48">
            <v>545092</v>
          </cell>
          <cell r="D48">
            <v>545092</v>
          </cell>
        </row>
        <row r="49">
          <cell r="A49" t="str">
            <v>B2.16</v>
          </cell>
          <cell r="B49" t="str">
            <v>rezerwa na pokrycie kosztów świadczeń opieki zdrowotnej oraz refundacji leków, w tym:</v>
          </cell>
          <cell r="C49">
            <v>0</v>
          </cell>
          <cell r="D49">
            <v>0</v>
          </cell>
        </row>
        <row r="50">
          <cell r="A50" t="str">
            <v>B2.16.1</v>
          </cell>
          <cell r="B50" t="str">
            <v>rezerwa, o której mowa w art. 118 ust. 2 pkt 2 lit. c ustawy</v>
          </cell>
          <cell r="C50">
            <v>0</v>
          </cell>
          <cell r="D50">
            <v>0</v>
          </cell>
        </row>
        <row r="51">
          <cell r="A51" t="str">
            <v>B2.17</v>
          </cell>
          <cell r="B51" t="str">
            <v>rezerwa na koszty świadczeń opieki zdrowotnej w ramach migracji ubezpieczonych</v>
          </cell>
          <cell r="C51">
            <v>0</v>
          </cell>
          <cell r="D51">
            <v>0</v>
          </cell>
        </row>
        <row r="52">
          <cell r="A52" t="str">
            <v>B2.18</v>
          </cell>
          <cell r="B52" t="str">
            <v>koszty świadczeń opieki zdrowotnej z lat ubiegłych</v>
          </cell>
          <cell r="C52">
            <v>221495</v>
          </cell>
          <cell r="D52">
            <v>221495</v>
          </cell>
        </row>
        <row r="53">
          <cell r="A53" t="str">
            <v>B2.19</v>
          </cell>
          <cell r="B53" t="str">
            <v>rezerwa na koszty świadczeń opieki zdrowotnej udzielone w ramach transgranicznej opieki zdrowotnej</v>
          </cell>
          <cell r="C53">
            <v>50000</v>
          </cell>
          <cell r="D53">
            <v>50000</v>
          </cell>
        </row>
        <row r="54">
          <cell r="A54" t="str">
            <v>B2.20</v>
          </cell>
          <cell r="B54" t="str">
            <v>rezerwa na dofinansowanie programów polityki zdrowotnej na podstawie art. 48d ustawy</v>
          </cell>
          <cell r="C54">
            <v>35830</v>
          </cell>
          <cell r="D54">
            <v>35830</v>
          </cell>
        </row>
        <row r="55">
          <cell r="A55" t="str">
            <v>B3</v>
          </cell>
          <cell r="B55" t="str">
            <v>Koszty programów polityki zdrowotnej realizowanych na zlecenie</v>
          </cell>
          <cell r="C55">
            <v>0</v>
          </cell>
          <cell r="D55">
            <v>2804</v>
          </cell>
        </row>
        <row r="56">
          <cell r="A56" t="str">
            <v>B4</v>
          </cell>
          <cell r="B56" t="str">
            <v>Koszty realizacji zadań zespołów ratownictwa medycznego</v>
          </cell>
          <cell r="C56">
            <v>1923442</v>
          </cell>
          <cell r="D56">
            <v>1923442</v>
          </cell>
        </row>
        <row r="57">
          <cell r="A57" t="str">
            <v>B5</v>
          </cell>
          <cell r="B57" t="str">
            <v>Koszty finansowania leku, środka spożywczego specjalnego przeznaczenia żywieniowego oraz wyrobu medycznego w części finansowanej z budżetu państwa zgodnie z art. 43a ust. 3 ustawy</v>
          </cell>
          <cell r="C57">
            <v>564300</v>
          </cell>
          <cell r="D57">
            <v>564300</v>
          </cell>
        </row>
        <row r="58">
          <cell r="A58" t="str">
            <v>Bn</v>
          </cell>
          <cell r="B58" t="str">
            <v>Całkowity budżet na refundację
(B2.3.1.1+B2.3.2.1+B2.14+B2.16.1)</v>
          </cell>
          <cell r="C58">
            <v>12256183</v>
          </cell>
          <cell r="D58">
            <v>12256183</v>
          </cell>
        </row>
        <row r="59">
          <cell r="A59" t="str">
            <v>C</v>
          </cell>
          <cell r="B59" t="str">
            <v>WYNIK NA DZIAŁALNOŚCI (A - B)</v>
          </cell>
          <cell r="C59">
            <v>-739242</v>
          </cell>
          <cell r="D59">
            <v>-739242</v>
          </cell>
        </row>
        <row r="60">
          <cell r="A60" t="str">
            <v>D</v>
          </cell>
          <cell r="B60" t="str">
            <v>Koszty administracyjne (D1 + … + D8)</v>
          </cell>
          <cell r="C60">
            <v>753162</v>
          </cell>
          <cell r="D60">
            <v>753162</v>
          </cell>
        </row>
        <row r="61">
          <cell r="A61" t="str">
            <v>D1</v>
          </cell>
          <cell r="B61" t="str">
            <v>zużycie materiałów i energii</v>
          </cell>
          <cell r="C61">
            <v>25837</v>
          </cell>
          <cell r="D61">
            <v>25837</v>
          </cell>
        </row>
        <row r="62">
          <cell r="A62" t="str">
            <v>D2</v>
          </cell>
          <cell r="B62" t="str">
            <v>usługi obce</v>
          </cell>
          <cell r="C62">
            <v>185633</v>
          </cell>
          <cell r="D62">
            <v>185633</v>
          </cell>
        </row>
        <row r="63">
          <cell r="A63" t="str">
            <v>D3</v>
          </cell>
          <cell r="B63" t="str">
            <v>podatki i opłaty, z tego:</v>
          </cell>
          <cell r="C63">
            <v>4682</v>
          </cell>
          <cell r="D63">
            <v>4682</v>
          </cell>
        </row>
        <row r="64">
          <cell r="A64" t="str">
            <v>D3.1</v>
          </cell>
          <cell r="B64" t="str">
            <v>podatki stanowiące dochody własne jednostek samorządu terytorialnego, w tym:</v>
          </cell>
          <cell r="C64">
            <v>614</v>
          </cell>
          <cell r="D64">
            <v>614</v>
          </cell>
        </row>
        <row r="65">
          <cell r="A65" t="str">
            <v>D3.1.1</v>
          </cell>
          <cell r="B65" t="str">
            <v>podatek od nieruchomości</v>
          </cell>
          <cell r="C65">
            <v>611</v>
          </cell>
          <cell r="D65">
            <v>611</v>
          </cell>
        </row>
        <row r="66">
          <cell r="A66" t="str">
            <v>D3.2</v>
          </cell>
          <cell r="B66" t="str">
            <v>opłaty stanowiące dochody własne jednostek samorządu terytorialnego</v>
          </cell>
          <cell r="C66">
            <v>680</v>
          </cell>
          <cell r="D66">
            <v>680</v>
          </cell>
        </row>
        <row r="67">
          <cell r="A67" t="str">
            <v>D3.3</v>
          </cell>
          <cell r="B67" t="str">
            <v>VAT</v>
          </cell>
          <cell r="C67">
            <v>27</v>
          </cell>
          <cell r="D67">
            <v>27</v>
          </cell>
        </row>
        <row r="68">
          <cell r="A68" t="str">
            <v>D3.4</v>
          </cell>
          <cell r="B68" t="str">
            <v>podatek akcyzowy</v>
          </cell>
          <cell r="C68">
            <v>0</v>
          </cell>
          <cell r="D68">
            <v>0</v>
          </cell>
        </row>
        <row r="69">
          <cell r="A69" t="str">
            <v>D3.5</v>
          </cell>
          <cell r="B69" t="str">
            <v>wpłaty na PFRON</v>
          </cell>
          <cell r="C69">
            <v>2973</v>
          </cell>
          <cell r="D69">
            <v>2973</v>
          </cell>
        </row>
        <row r="70">
          <cell r="A70" t="str">
            <v>D3.6</v>
          </cell>
          <cell r="B70" t="str">
            <v>inne</v>
          </cell>
          <cell r="C70">
            <v>388</v>
          </cell>
          <cell r="D70">
            <v>388</v>
          </cell>
        </row>
        <row r="71">
          <cell r="A71" t="str">
            <v>D4</v>
          </cell>
          <cell r="B71" t="str">
            <v>wynagrodzenia, w tym:</v>
          </cell>
          <cell r="C71">
            <v>341092</v>
          </cell>
          <cell r="D71">
            <v>341092</v>
          </cell>
        </row>
        <row r="72">
          <cell r="A72" t="str">
            <v>D4.1</v>
          </cell>
          <cell r="B72" t="str">
            <v>wynagrodzenia bezosobowe</v>
          </cell>
          <cell r="C72">
            <v>1183</v>
          </cell>
          <cell r="D72">
            <v>1183</v>
          </cell>
        </row>
        <row r="73">
          <cell r="A73" t="str">
            <v>D5</v>
          </cell>
          <cell r="B73" t="str">
            <v>ubezpieczenie społeczne i inne świadczenia, z tego:</v>
          </cell>
          <cell r="C73">
            <v>77635</v>
          </cell>
          <cell r="D73">
            <v>77635</v>
          </cell>
        </row>
        <row r="74">
          <cell r="A74" t="str">
            <v>D5.1</v>
          </cell>
          <cell r="B74" t="str">
            <v>składki na Fundusz Ubezpieczeń Społecznych</v>
          </cell>
          <cell r="C74">
            <v>58390</v>
          </cell>
          <cell r="D74">
            <v>58390</v>
          </cell>
        </row>
        <row r="75">
          <cell r="A75" t="str">
            <v>D5.2</v>
          </cell>
          <cell r="B75" t="str">
            <v>składki na Fundusz Pracy</v>
          </cell>
          <cell r="C75">
            <v>8165</v>
          </cell>
          <cell r="D75">
            <v>8165</v>
          </cell>
        </row>
        <row r="76">
          <cell r="A76" t="str">
            <v>D5.3</v>
          </cell>
          <cell r="B76" t="str">
            <v>składki na Fundusz Gwarantowanych Świadczeń Pracowniczych</v>
          </cell>
          <cell r="C76">
            <v>0</v>
          </cell>
          <cell r="D76">
            <v>0</v>
          </cell>
        </row>
        <row r="77">
          <cell r="A77" t="str">
            <v>D5.4</v>
          </cell>
          <cell r="B77" t="str">
            <v>pozostałe świadczenia</v>
          </cell>
          <cell r="C77">
            <v>11080</v>
          </cell>
          <cell r="D77">
            <v>11080</v>
          </cell>
        </row>
        <row r="78">
          <cell r="A78" t="str">
            <v>D6</v>
          </cell>
          <cell r="B78" t="str">
            <v>koszty funkcjonowania Rady Funduszu</v>
          </cell>
          <cell r="C78">
            <v>50</v>
          </cell>
          <cell r="D78">
            <v>50</v>
          </cell>
        </row>
        <row r="79">
          <cell r="A79" t="str">
            <v>D7</v>
          </cell>
          <cell r="B79" t="str">
            <v>amortyzacja środków trwałych oraz wartości niematerialnych i prawnych</v>
          </cell>
          <cell r="C79">
            <v>112061</v>
          </cell>
          <cell r="D79">
            <v>112061</v>
          </cell>
        </row>
        <row r="80">
          <cell r="A80" t="str">
            <v>D8</v>
          </cell>
          <cell r="B80" t="str">
            <v>pozostałe koszty administracyjne</v>
          </cell>
          <cell r="C80">
            <v>6172</v>
          </cell>
          <cell r="D80">
            <v>6172</v>
          </cell>
        </row>
        <row r="81">
          <cell r="A81" t="str">
            <v>E</v>
          </cell>
          <cell r="B81" t="str">
            <v>Pozostałe przychody</v>
          </cell>
          <cell r="C81">
            <v>186891</v>
          </cell>
          <cell r="D81">
            <v>186891</v>
          </cell>
        </row>
        <row r="82">
          <cell r="A82" t="str">
            <v>F</v>
          </cell>
          <cell r="B82" t="str">
            <v>Pozostałe koszty (F1+ … +F4)</v>
          </cell>
          <cell r="C82">
            <v>233676</v>
          </cell>
          <cell r="D82">
            <v>233676</v>
          </cell>
        </row>
        <row r="83">
          <cell r="A83" t="str">
            <v>F1</v>
          </cell>
          <cell r="B83" t="str">
            <v>wydanie i utrzymanie kart ubezpieczenia (w tym części stałych i zamiennych książeczek usług medycznych) oraz recept</v>
          </cell>
          <cell r="C83">
            <v>1269</v>
          </cell>
          <cell r="D83">
            <v>1269</v>
          </cell>
        </row>
        <row r="84">
          <cell r="A84" t="str">
            <v>F2</v>
          </cell>
          <cell r="B84" t="str">
            <v>rezerwa na zobowiązania wynikające z postępowań sądowych</v>
          </cell>
          <cell r="C84">
            <v>192338</v>
          </cell>
          <cell r="D84">
            <v>192338</v>
          </cell>
        </row>
        <row r="85">
          <cell r="A85" t="str">
            <v>F3</v>
          </cell>
          <cell r="B85" t="str">
            <v>inne rezerwy</v>
          </cell>
          <cell r="C85">
            <v>0</v>
          </cell>
          <cell r="D85">
            <v>0</v>
          </cell>
        </row>
        <row r="86">
          <cell r="A86" t="str">
            <v>F4</v>
          </cell>
          <cell r="B86" t="str">
            <v>inne koszty</v>
          </cell>
          <cell r="C86">
            <v>40069</v>
          </cell>
          <cell r="D86">
            <v>40069</v>
          </cell>
        </row>
        <row r="87">
          <cell r="A87" t="str">
            <v>G</v>
          </cell>
          <cell r="B87" t="str">
            <v>Przychody finansowe (G1 + G2)</v>
          </cell>
          <cell r="C87">
            <v>52142</v>
          </cell>
          <cell r="D87">
            <v>52142</v>
          </cell>
        </row>
        <row r="88">
          <cell r="A88" t="str">
            <v>G1</v>
          </cell>
          <cell r="B88" t="str">
            <v xml:space="preserve">odsetki uzyskane z lokat </v>
          </cell>
          <cell r="C88">
            <v>44370</v>
          </cell>
          <cell r="D88">
            <v>44370</v>
          </cell>
        </row>
        <row r="89">
          <cell r="A89" t="str">
            <v>G2</v>
          </cell>
          <cell r="B89" t="str">
            <v>inne przychody finansowe</v>
          </cell>
          <cell r="C89">
            <v>7772</v>
          </cell>
          <cell r="D89">
            <v>7772</v>
          </cell>
        </row>
        <row r="90">
          <cell r="A90" t="str">
            <v>H</v>
          </cell>
          <cell r="B90" t="str">
            <v>Koszty finansowe</v>
          </cell>
          <cell r="C90">
            <v>86053</v>
          </cell>
          <cell r="D90">
            <v>86053</v>
          </cell>
        </row>
        <row r="91">
          <cell r="A91" t="str">
            <v>I</v>
          </cell>
          <cell r="B91" t="str">
            <v>WYNIK FINANSOWY OGÓŁEM NETTO
(C - D + E - F + G - H)</v>
          </cell>
          <cell r="C91">
            <v>-1573100</v>
          </cell>
          <cell r="D91">
            <v>-1573100</v>
          </cell>
        </row>
        <row r="92">
          <cell r="A92" t="str">
            <v>J</v>
          </cell>
          <cell r="B92" t="str">
            <v xml:space="preserve"> PRZYCHODY - ogółem</v>
          </cell>
          <cell r="C92">
            <v>78532769</v>
          </cell>
          <cell r="D92">
            <v>78535573</v>
          </cell>
        </row>
        <row r="93">
          <cell r="A93" t="str">
            <v>K</v>
          </cell>
          <cell r="B93" t="str">
            <v xml:space="preserve"> KOSZTY - ogółem</v>
          </cell>
          <cell r="C93">
            <v>80105869</v>
          </cell>
          <cell r="D93">
            <v>80108673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</sheetData>
      <sheetData sheetId="1">
        <row r="7">
          <cell r="A7" t="str">
            <v>B2.1</v>
          </cell>
          <cell r="B7" t="str">
            <v>podstawowa opieka zdrowotna</v>
          </cell>
          <cell r="C7">
            <v>0</v>
          </cell>
          <cell r="D7">
            <v>0</v>
          </cell>
        </row>
        <row r="8">
          <cell r="A8" t="str">
            <v>B2.2</v>
          </cell>
          <cell r="B8" t="str">
            <v>ambulatoryjna opieka specjalistyczna</v>
          </cell>
          <cell r="C8">
            <v>0</v>
          </cell>
          <cell r="D8">
            <v>0</v>
          </cell>
        </row>
        <row r="9">
          <cell r="A9" t="str">
            <v>B2.3</v>
          </cell>
          <cell r="B9" t="str">
            <v>leczenie szpitalne, w tym:</v>
          </cell>
          <cell r="C9">
            <v>0</v>
          </cell>
          <cell r="D9">
            <v>0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0</v>
          </cell>
          <cell r="D10">
            <v>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0</v>
          </cell>
          <cell r="D11">
            <v>0</v>
          </cell>
        </row>
        <row r="12">
          <cell r="A12" t="str">
            <v>B2.3.2</v>
          </cell>
          <cell r="B12" t="str">
            <v>chemioterapia, w tym:</v>
          </cell>
          <cell r="C12">
            <v>0</v>
          </cell>
          <cell r="D12">
            <v>0</v>
          </cell>
        </row>
        <row r="13">
          <cell r="A13" t="str">
            <v>B2.3.2.1</v>
          </cell>
          <cell r="B13" t="str">
            <v>leki stosowane w chemioterapii</v>
          </cell>
          <cell r="C13">
            <v>0</v>
          </cell>
          <cell r="D13">
            <v>0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0</v>
          </cell>
          <cell r="D14">
            <v>0</v>
          </cell>
        </row>
        <row r="15">
          <cell r="A15" t="str">
            <v>B2.5</v>
          </cell>
          <cell r="B15" t="str">
            <v>rehabilitacja lecznicza</v>
          </cell>
          <cell r="C15">
            <v>0</v>
          </cell>
          <cell r="D15">
            <v>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0</v>
          </cell>
          <cell r="D16">
            <v>0</v>
          </cell>
        </row>
        <row r="17">
          <cell r="A17" t="str">
            <v>B2.7</v>
          </cell>
          <cell r="B17" t="str">
            <v>opieka paliatywna i hospicyjna</v>
          </cell>
          <cell r="C17">
            <v>0</v>
          </cell>
          <cell r="D17">
            <v>0</v>
          </cell>
        </row>
        <row r="18">
          <cell r="A18" t="str">
            <v>B2.8</v>
          </cell>
          <cell r="B18" t="str">
            <v>leczenie stomatologiczne</v>
          </cell>
          <cell r="C18">
            <v>0</v>
          </cell>
          <cell r="D18">
            <v>0</v>
          </cell>
        </row>
        <row r="19">
          <cell r="A19" t="str">
            <v>B2.9</v>
          </cell>
          <cell r="B19" t="str">
            <v>lecznictwo uzdrowiskowe</v>
          </cell>
          <cell r="C19">
            <v>0</v>
          </cell>
          <cell r="D19">
            <v>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0</v>
          </cell>
          <cell r="D20">
            <v>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0</v>
          </cell>
          <cell r="D21">
            <v>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0</v>
          </cell>
          <cell r="D22">
            <v>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0</v>
          </cell>
          <cell r="D23">
            <v>0</v>
          </cell>
        </row>
        <row r="24">
          <cell r="A24" t="str">
            <v>B2.14</v>
          </cell>
          <cell r="B24" t="str">
            <v>refundacja, z tego:</v>
          </cell>
          <cell r="C24">
            <v>0</v>
          </cell>
          <cell r="D24">
            <v>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0</v>
          </cell>
          <cell r="D25">
            <v>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0</v>
          </cell>
          <cell r="D26">
            <v>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0</v>
          </cell>
          <cell r="D27">
            <v>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545092</v>
          </cell>
          <cell r="D28">
            <v>545092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50000</v>
          </cell>
          <cell r="D33">
            <v>50000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0</v>
          </cell>
          <cell r="D36">
            <v>0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0</v>
          </cell>
          <cell r="D37">
            <v>0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0</v>
          </cell>
          <cell r="D38">
            <v>0</v>
          </cell>
        </row>
        <row r="39">
          <cell r="A39" t="str">
            <v>D.</v>
          </cell>
          <cell r="B39" t="str">
            <v>Koszty administracyjne ( D1+...+D8 )</v>
          </cell>
          <cell r="C39">
            <v>233968</v>
          </cell>
          <cell r="D39">
            <v>233968</v>
          </cell>
        </row>
        <row r="40">
          <cell r="A40" t="str">
            <v>D1</v>
          </cell>
          <cell r="B40" t="str">
            <v>zużycie materiałów i energii</v>
          </cell>
          <cell r="C40">
            <v>3632</v>
          </cell>
          <cell r="D40">
            <v>3632</v>
          </cell>
        </row>
        <row r="41">
          <cell r="A41" t="str">
            <v>D2</v>
          </cell>
          <cell r="B41" t="str">
            <v>usługi obce</v>
          </cell>
          <cell r="C41">
            <v>116349</v>
          </cell>
          <cell r="D41">
            <v>116349</v>
          </cell>
        </row>
        <row r="42">
          <cell r="A42" t="str">
            <v>D3</v>
          </cell>
          <cell r="B42" t="str">
            <v>podatki i opłaty, z tego</v>
          </cell>
          <cell r="C42">
            <v>713</v>
          </cell>
          <cell r="D42">
            <v>713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100</v>
          </cell>
          <cell r="D43">
            <v>100</v>
          </cell>
        </row>
        <row r="44">
          <cell r="A44" t="str">
            <v>D3.1.1</v>
          </cell>
          <cell r="B44" t="str">
            <v>podatek od nieruchomości</v>
          </cell>
          <cell r="C44">
            <v>100</v>
          </cell>
          <cell r="D44">
            <v>100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94</v>
          </cell>
          <cell r="D45">
            <v>94</v>
          </cell>
        </row>
        <row r="46">
          <cell r="A46" t="str">
            <v>D3.3</v>
          </cell>
          <cell r="B46" t="str">
            <v>VAT</v>
          </cell>
          <cell r="C46">
            <v>22</v>
          </cell>
          <cell r="D46">
            <v>22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382</v>
          </cell>
          <cell r="D48">
            <v>382</v>
          </cell>
        </row>
        <row r="49">
          <cell r="A49" t="str">
            <v>D3.6</v>
          </cell>
          <cell r="B49" t="str">
            <v>inne</v>
          </cell>
          <cell r="C49">
            <v>115</v>
          </cell>
          <cell r="D49">
            <v>115</v>
          </cell>
        </row>
        <row r="50">
          <cell r="A50" t="str">
            <v>D4</v>
          </cell>
          <cell r="B50" t="str">
            <v>wynagrodzenia, w tym:</v>
          </cell>
          <cell r="C50">
            <v>37918</v>
          </cell>
          <cell r="D50">
            <v>37918</v>
          </cell>
        </row>
        <row r="51">
          <cell r="A51" t="str">
            <v>D4.1</v>
          </cell>
          <cell r="B51" t="str">
            <v>wynagrodzenia bezosobowe</v>
          </cell>
          <cell r="C51">
            <v>358</v>
          </cell>
          <cell r="D51">
            <v>358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9399</v>
          </cell>
          <cell r="D52">
            <v>9399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6519</v>
          </cell>
          <cell r="D53">
            <v>6519</v>
          </cell>
        </row>
        <row r="54">
          <cell r="A54" t="str">
            <v>D5.2</v>
          </cell>
          <cell r="B54" t="str">
            <v>składki na Fundusz Pracy</v>
          </cell>
          <cell r="C54">
            <v>930</v>
          </cell>
          <cell r="D54">
            <v>930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1950</v>
          </cell>
          <cell r="D56">
            <v>1950</v>
          </cell>
        </row>
        <row r="57">
          <cell r="A57" t="str">
            <v>D6</v>
          </cell>
          <cell r="B57" t="str">
            <v>koszty funkcjonowania Rady Funduszu</v>
          </cell>
          <cell r="C57">
            <v>50</v>
          </cell>
          <cell r="D57">
            <v>50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64000</v>
          </cell>
          <cell r="D58">
            <v>64000</v>
          </cell>
        </row>
        <row r="59">
          <cell r="A59" t="str">
            <v>D8</v>
          </cell>
          <cell r="B59" t="str">
            <v>pozostałe koszty administracyjne</v>
          </cell>
          <cell r="C59">
            <v>1907</v>
          </cell>
          <cell r="D59">
            <v>1907</v>
          </cell>
        </row>
        <row r="60">
          <cell r="A60" t="str">
            <v>F</v>
          </cell>
          <cell r="B60" t="str">
            <v>Pozostałe koszty (F1+...+F4)</v>
          </cell>
          <cell r="C60">
            <v>7555</v>
          </cell>
          <cell r="D60">
            <v>7555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875</v>
          </cell>
          <cell r="D61">
            <v>875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1180</v>
          </cell>
          <cell r="D62">
            <v>1180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5500</v>
          </cell>
          <cell r="D64">
            <v>5500</v>
          </cell>
        </row>
        <row r="65">
          <cell r="A65" t="str">
            <v>H</v>
          </cell>
          <cell r="B65" t="str">
            <v>Koszty finansowe</v>
          </cell>
          <cell r="C65">
            <v>30182</v>
          </cell>
          <cell r="D65">
            <v>30182</v>
          </cell>
        </row>
        <row r="71">
          <cell r="C71">
            <v>0</v>
          </cell>
        </row>
      </sheetData>
      <sheetData sheetId="2"/>
      <sheetData sheetId="3">
        <row r="7">
          <cell r="A7" t="str">
            <v>B2.1</v>
          </cell>
          <cell r="B7" t="str">
            <v>podstawowa opieka zdrowotna</v>
          </cell>
          <cell r="C7">
            <v>762998</v>
          </cell>
          <cell r="D7">
            <v>762998</v>
          </cell>
        </row>
        <row r="8">
          <cell r="A8" t="str">
            <v>B2.2</v>
          </cell>
          <cell r="B8" t="str">
            <v>ambulatoryjna opieka specjalistyczna</v>
          </cell>
          <cell r="C8">
            <v>423209</v>
          </cell>
          <cell r="D8">
            <v>423209</v>
          </cell>
        </row>
        <row r="9">
          <cell r="A9" t="str">
            <v>B2.3</v>
          </cell>
          <cell r="B9" t="str">
            <v>leczenie szpitalne, w tym:</v>
          </cell>
          <cell r="C9">
            <v>2875226</v>
          </cell>
          <cell r="D9">
            <v>2875226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281712</v>
          </cell>
          <cell r="D10">
            <v>281712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257192</v>
          </cell>
          <cell r="D11">
            <v>257192</v>
          </cell>
        </row>
        <row r="12">
          <cell r="A12" t="str">
            <v>B2.3.2</v>
          </cell>
          <cell r="B12" t="str">
            <v>chemioterapia, w tym:</v>
          </cell>
          <cell r="C12">
            <v>116591</v>
          </cell>
          <cell r="D12">
            <v>116591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50995</v>
          </cell>
          <cell r="D13">
            <v>50995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209651</v>
          </cell>
          <cell r="D14">
            <v>209651</v>
          </cell>
        </row>
        <row r="15">
          <cell r="A15" t="str">
            <v>B2.5</v>
          </cell>
          <cell r="B15" t="str">
            <v>rehabilitacja lecznicza</v>
          </cell>
          <cell r="C15">
            <v>180579</v>
          </cell>
          <cell r="D15">
            <v>180579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120014</v>
          </cell>
          <cell r="D16">
            <v>120014</v>
          </cell>
        </row>
        <row r="17">
          <cell r="A17" t="str">
            <v>B2.7</v>
          </cell>
          <cell r="B17" t="str">
            <v>opieka paliatywna i hospicyjna</v>
          </cell>
          <cell r="C17">
            <v>62744</v>
          </cell>
          <cell r="D17">
            <v>62744</v>
          </cell>
        </row>
        <row r="18">
          <cell r="A18" t="str">
            <v>B2.8</v>
          </cell>
          <cell r="B18" t="str">
            <v>leczenie stomatologiczne</v>
          </cell>
          <cell r="C18">
            <v>122937</v>
          </cell>
          <cell r="D18">
            <v>122937</v>
          </cell>
        </row>
        <row r="19">
          <cell r="A19" t="str">
            <v>B2.9</v>
          </cell>
          <cell r="B19" t="str">
            <v>lecznictwo uzdrowiskowe</v>
          </cell>
          <cell r="C19">
            <v>64571</v>
          </cell>
          <cell r="D19">
            <v>64571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4782</v>
          </cell>
          <cell r="D20">
            <v>4782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15204</v>
          </cell>
          <cell r="D21">
            <v>15204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141045</v>
          </cell>
          <cell r="D22">
            <v>141045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84300</v>
          </cell>
          <cell r="D23">
            <v>84300</v>
          </cell>
        </row>
        <row r="24">
          <cell r="A24" t="str">
            <v>B2.14</v>
          </cell>
          <cell r="B24" t="str">
            <v>refundacja, z tego:</v>
          </cell>
          <cell r="C24">
            <v>610761</v>
          </cell>
          <cell r="D24">
            <v>610761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608761</v>
          </cell>
          <cell r="D25">
            <v>608761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1000</v>
          </cell>
          <cell r="D26">
            <v>1000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8181</v>
          </cell>
          <cell r="D32">
            <v>8181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145215</v>
          </cell>
          <cell r="D36">
            <v>145215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43362</v>
          </cell>
          <cell r="D37">
            <v>43362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918948</v>
          </cell>
          <cell r="D38">
            <v>918948</v>
          </cell>
        </row>
        <row r="39">
          <cell r="A39" t="str">
            <v>D.</v>
          </cell>
          <cell r="B39" t="str">
            <v>Koszty administracyjne ( D1+...+D8 )</v>
          </cell>
          <cell r="C39">
            <v>36700</v>
          </cell>
          <cell r="D39">
            <v>36700</v>
          </cell>
        </row>
        <row r="40">
          <cell r="A40" t="str">
            <v>D1</v>
          </cell>
          <cell r="B40" t="str">
            <v>zużycie materiałów i energii</v>
          </cell>
          <cell r="C40">
            <v>1397</v>
          </cell>
          <cell r="D40">
            <v>1397</v>
          </cell>
        </row>
        <row r="41">
          <cell r="A41" t="str">
            <v>D2</v>
          </cell>
          <cell r="B41" t="str">
            <v>usługi obce</v>
          </cell>
          <cell r="C41">
            <v>4690</v>
          </cell>
          <cell r="D41">
            <v>4690</v>
          </cell>
        </row>
        <row r="42">
          <cell r="A42" t="str">
            <v>D3</v>
          </cell>
          <cell r="B42" t="str">
            <v>podatki i opłaty, z tego</v>
          </cell>
          <cell r="C42">
            <v>351</v>
          </cell>
          <cell r="D42">
            <v>351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54</v>
          </cell>
          <cell r="D43">
            <v>54</v>
          </cell>
        </row>
        <row r="44">
          <cell r="A44" t="str">
            <v>D3.1.1</v>
          </cell>
          <cell r="B44" t="str">
            <v>podatek od nieruchomości</v>
          </cell>
          <cell r="C44">
            <v>54</v>
          </cell>
          <cell r="D44">
            <v>54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66</v>
          </cell>
          <cell r="D45">
            <v>66</v>
          </cell>
        </row>
        <row r="46">
          <cell r="A46" t="str">
            <v>D3.3</v>
          </cell>
          <cell r="B46" t="str">
            <v>VAT</v>
          </cell>
          <cell r="C46">
            <v>1</v>
          </cell>
          <cell r="D46">
            <v>1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228</v>
          </cell>
          <cell r="D48">
            <v>228</v>
          </cell>
        </row>
        <row r="49">
          <cell r="A49" t="str">
            <v>D3.6</v>
          </cell>
          <cell r="B49" t="str">
            <v>inne</v>
          </cell>
          <cell r="C49">
            <v>2</v>
          </cell>
          <cell r="D49">
            <v>2</v>
          </cell>
        </row>
        <row r="50">
          <cell r="A50" t="str">
            <v>D4</v>
          </cell>
          <cell r="B50" t="str">
            <v>wynagrodzenia, w tym:</v>
          </cell>
          <cell r="C50">
            <v>21910</v>
          </cell>
          <cell r="D50">
            <v>21910</v>
          </cell>
        </row>
        <row r="51">
          <cell r="A51" t="str">
            <v>D4.1</v>
          </cell>
          <cell r="B51" t="str">
            <v>wynagrodzenia bezosobowe</v>
          </cell>
          <cell r="C51">
            <v>100</v>
          </cell>
          <cell r="D51">
            <v>100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4925</v>
          </cell>
          <cell r="D52">
            <v>4925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3659</v>
          </cell>
          <cell r="D53">
            <v>3659</v>
          </cell>
        </row>
        <row r="54">
          <cell r="A54" t="str">
            <v>D5.2</v>
          </cell>
          <cell r="B54" t="str">
            <v>składki na Fundusz Pracy</v>
          </cell>
          <cell r="C54">
            <v>441</v>
          </cell>
          <cell r="D54">
            <v>441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825</v>
          </cell>
          <cell r="D56">
            <v>825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3232</v>
          </cell>
          <cell r="D58">
            <v>3232</v>
          </cell>
        </row>
        <row r="59">
          <cell r="A59" t="str">
            <v>D8</v>
          </cell>
          <cell r="B59" t="str">
            <v>pozostałe koszty administracyjne</v>
          </cell>
          <cell r="C59">
            <v>195</v>
          </cell>
          <cell r="D59">
            <v>195</v>
          </cell>
        </row>
        <row r="60">
          <cell r="A60" t="str">
            <v>F</v>
          </cell>
          <cell r="B60" t="str">
            <v>Pozostałe koszty (F1+...+F4)</v>
          </cell>
          <cell r="C60">
            <v>16705</v>
          </cell>
          <cell r="D60">
            <v>16705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15045</v>
          </cell>
          <cell r="D62">
            <v>15045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1660</v>
          </cell>
          <cell r="D64">
            <v>1660</v>
          </cell>
        </row>
        <row r="65">
          <cell r="A65" t="str">
            <v>H</v>
          </cell>
          <cell r="B65" t="str">
            <v>Koszty finansowe</v>
          </cell>
          <cell r="C65">
            <v>1981</v>
          </cell>
          <cell r="D65">
            <v>1981</v>
          </cell>
        </row>
      </sheetData>
      <sheetData sheetId="4">
        <row r="7">
          <cell r="A7" t="str">
            <v>B2.1</v>
          </cell>
          <cell r="B7" t="str">
            <v>podstawowa opieka zdrowotna</v>
          </cell>
          <cell r="C7">
            <v>549600</v>
          </cell>
          <cell r="D7">
            <v>549600</v>
          </cell>
        </row>
        <row r="8">
          <cell r="A8" t="str">
            <v>B2.2</v>
          </cell>
          <cell r="B8" t="str">
            <v>ambulatoryjna opieka specjalistyczna</v>
          </cell>
          <cell r="C8">
            <v>284581</v>
          </cell>
          <cell r="D8">
            <v>284581</v>
          </cell>
        </row>
        <row r="9">
          <cell r="A9" t="str">
            <v>B2.3</v>
          </cell>
          <cell r="B9" t="str">
            <v>leczenie szpitalne, w tym:</v>
          </cell>
          <cell r="C9">
            <v>2073217</v>
          </cell>
          <cell r="D9">
            <v>2073217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170807</v>
          </cell>
          <cell r="D10">
            <v>170807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154647</v>
          </cell>
          <cell r="D11">
            <v>154647</v>
          </cell>
        </row>
        <row r="12">
          <cell r="A12" t="str">
            <v>B2.3.2</v>
          </cell>
          <cell r="B12" t="str">
            <v>chemioterapia, w tym:</v>
          </cell>
          <cell r="C12">
            <v>69836</v>
          </cell>
          <cell r="D12">
            <v>69836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33838</v>
          </cell>
          <cell r="D13">
            <v>33838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141017</v>
          </cell>
          <cell r="D14">
            <v>141017</v>
          </cell>
        </row>
        <row r="15">
          <cell r="A15" t="str">
            <v>B2.5</v>
          </cell>
          <cell r="B15" t="str">
            <v>rehabilitacja lecznicza</v>
          </cell>
          <cell r="C15">
            <v>105153</v>
          </cell>
          <cell r="D15">
            <v>105153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64633</v>
          </cell>
          <cell r="D16">
            <v>64633</v>
          </cell>
        </row>
        <row r="17">
          <cell r="A17" t="str">
            <v>B2.7</v>
          </cell>
          <cell r="B17" t="str">
            <v>opieka paliatywna i hospicyjna</v>
          </cell>
          <cell r="C17">
            <v>42467</v>
          </cell>
          <cell r="D17">
            <v>42467</v>
          </cell>
        </row>
        <row r="18">
          <cell r="A18" t="str">
            <v>B2.8</v>
          </cell>
          <cell r="B18" t="str">
            <v>leczenie stomatologiczne</v>
          </cell>
          <cell r="C18">
            <v>98133</v>
          </cell>
          <cell r="D18">
            <v>98133</v>
          </cell>
        </row>
        <row r="19">
          <cell r="A19" t="str">
            <v>B2.9</v>
          </cell>
          <cell r="B19" t="str">
            <v>lecznictwo uzdrowiskowe</v>
          </cell>
          <cell r="C19">
            <v>35327</v>
          </cell>
          <cell r="D19">
            <v>35327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2977</v>
          </cell>
          <cell r="D20">
            <v>2977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11930</v>
          </cell>
          <cell r="D21">
            <v>11930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109824</v>
          </cell>
          <cell r="D22">
            <v>109824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54546</v>
          </cell>
          <cell r="D23">
            <v>54546</v>
          </cell>
        </row>
        <row r="24">
          <cell r="A24" t="str">
            <v>B2.14</v>
          </cell>
          <cell r="B24" t="str">
            <v>refundacja, z tego:</v>
          </cell>
          <cell r="C24">
            <v>475111</v>
          </cell>
          <cell r="D24">
            <v>475111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474078</v>
          </cell>
          <cell r="D25">
            <v>474078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600</v>
          </cell>
          <cell r="D26">
            <v>600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433</v>
          </cell>
          <cell r="D27">
            <v>433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23110</v>
          </cell>
          <cell r="D32">
            <v>23110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</v>
          </cell>
          <cell r="D34">
            <v>100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112602</v>
          </cell>
          <cell r="D36">
            <v>112602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32592</v>
          </cell>
          <cell r="D37">
            <v>32592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663596</v>
          </cell>
          <cell r="D38">
            <v>663596</v>
          </cell>
        </row>
        <row r="39">
          <cell r="A39" t="str">
            <v>D.</v>
          </cell>
          <cell r="B39" t="str">
            <v>Koszty administracyjne ( D1+...+D8 )</v>
          </cell>
          <cell r="C39">
            <v>31600</v>
          </cell>
          <cell r="D39">
            <v>31600</v>
          </cell>
        </row>
        <row r="40">
          <cell r="A40" t="str">
            <v>D1</v>
          </cell>
          <cell r="B40" t="str">
            <v>zużycie materiałów i energii</v>
          </cell>
          <cell r="C40">
            <v>2740</v>
          </cell>
          <cell r="D40">
            <v>2740</v>
          </cell>
        </row>
        <row r="41">
          <cell r="A41" t="str">
            <v>D2</v>
          </cell>
          <cell r="B41" t="str">
            <v>usługi obce</v>
          </cell>
          <cell r="C41">
            <v>4502</v>
          </cell>
          <cell r="D41">
            <v>4502</v>
          </cell>
        </row>
        <row r="42">
          <cell r="A42" t="str">
            <v>D3</v>
          </cell>
          <cell r="B42" t="str">
            <v>podatki i opłaty, z tego</v>
          </cell>
          <cell r="C42">
            <v>236</v>
          </cell>
          <cell r="D42">
            <v>236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33</v>
          </cell>
          <cell r="D43">
            <v>33</v>
          </cell>
        </row>
        <row r="44">
          <cell r="A44" t="str">
            <v>D3.1.1</v>
          </cell>
          <cell r="B44" t="str">
            <v>podatek od nieruchomości</v>
          </cell>
          <cell r="C44">
            <v>33</v>
          </cell>
          <cell r="D44">
            <v>33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26</v>
          </cell>
          <cell r="D45">
            <v>26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167</v>
          </cell>
          <cell r="D48">
            <v>167</v>
          </cell>
        </row>
        <row r="49">
          <cell r="A49" t="str">
            <v>D3.6</v>
          </cell>
          <cell r="B49" t="str">
            <v>inne</v>
          </cell>
          <cell r="C49">
            <v>10</v>
          </cell>
          <cell r="D49">
            <v>10</v>
          </cell>
        </row>
        <row r="50">
          <cell r="A50" t="str">
            <v>D4</v>
          </cell>
          <cell r="B50" t="str">
            <v>wynagrodzenia, w tym:</v>
          </cell>
          <cell r="C50">
            <v>15346</v>
          </cell>
          <cell r="D50">
            <v>15346</v>
          </cell>
        </row>
        <row r="51">
          <cell r="A51" t="str">
            <v>D4.1</v>
          </cell>
          <cell r="B51" t="str">
            <v>wynagrodzenia bezosobowe</v>
          </cell>
          <cell r="C51">
            <v>0</v>
          </cell>
          <cell r="D51">
            <v>0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3453</v>
          </cell>
          <cell r="D52">
            <v>3453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2576</v>
          </cell>
          <cell r="D53">
            <v>2576</v>
          </cell>
        </row>
        <row r="54">
          <cell r="A54" t="str">
            <v>D5.2</v>
          </cell>
          <cell r="B54" t="str">
            <v>składki na Fundusz Pracy</v>
          </cell>
          <cell r="C54">
            <v>297</v>
          </cell>
          <cell r="D54">
            <v>297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580</v>
          </cell>
          <cell r="D56">
            <v>580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5025</v>
          </cell>
          <cell r="D58">
            <v>5025</v>
          </cell>
        </row>
        <row r="59">
          <cell r="A59" t="str">
            <v>D8</v>
          </cell>
          <cell r="B59" t="str">
            <v>pozostałe koszty administracyjne</v>
          </cell>
          <cell r="C59">
            <v>298</v>
          </cell>
          <cell r="D59">
            <v>298</v>
          </cell>
        </row>
        <row r="60">
          <cell r="A60" t="str">
            <v>F</v>
          </cell>
          <cell r="B60" t="str">
            <v>Pozostałe koszty (F1+...+F4)</v>
          </cell>
          <cell r="C60">
            <v>45501</v>
          </cell>
          <cell r="D60">
            <v>45501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38601</v>
          </cell>
          <cell r="D62">
            <v>38601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6900</v>
          </cell>
          <cell r="D64">
            <v>6900</v>
          </cell>
        </row>
        <row r="65">
          <cell r="A65" t="str">
            <v>H</v>
          </cell>
          <cell r="B65" t="str">
            <v>Koszty finansowe</v>
          </cell>
          <cell r="C65">
            <v>18259</v>
          </cell>
          <cell r="D65">
            <v>18259</v>
          </cell>
        </row>
      </sheetData>
      <sheetData sheetId="5">
        <row r="7">
          <cell r="A7" t="str">
            <v>B2.1</v>
          </cell>
          <cell r="B7" t="str">
            <v>podstawowa opieka zdrowotna</v>
          </cell>
          <cell r="C7">
            <v>558216</v>
          </cell>
          <cell r="D7">
            <v>558216</v>
          </cell>
        </row>
        <row r="8">
          <cell r="A8" t="str">
            <v>B2.2</v>
          </cell>
          <cell r="B8" t="str">
            <v>ambulatoryjna opieka specjalistyczna</v>
          </cell>
          <cell r="C8">
            <v>291428</v>
          </cell>
          <cell r="D8">
            <v>291428</v>
          </cell>
        </row>
        <row r="9">
          <cell r="A9" t="str">
            <v>B2.3</v>
          </cell>
          <cell r="B9" t="str">
            <v>leczenie szpitalne, w tym:</v>
          </cell>
          <cell r="C9">
            <v>2166002</v>
          </cell>
          <cell r="D9">
            <v>2166002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177352</v>
          </cell>
          <cell r="D10">
            <v>177352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159770</v>
          </cell>
          <cell r="D11">
            <v>159770</v>
          </cell>
        </row>
        <row r="12">
          <cell r="A12" t="str">
            <v>B2.3.2</v>
          </cell>
          <cell r="B12" t="str">
            <v>chemioterapia, w tym:</v>
          </cell>
          <cell r="C12">
            <v>93461</v>
          </cell>
          <cell r="D12">
            <v>93461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40723</v>
          </cell>
          <cell r="D13">
            <v>40723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163626</v>
          </cell>
          <cell r="D14">
            <v>163626</v>
          </cell>
        </row>
        <row r="15">
          <cell r="A15" t="str">
            <v>B2.5</v>
          </cell>
          <cell r="B15" t="str">
            <v>rehabilitacja lecznicza</v>
          </cell>
          <cell r="C15">
            <v>125328</v>
          </cell>
          <cell r="D15">
            <v>125328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78482</v>
          </cell>
          <cell r="D16">
            <v>78482</v>
          </cell>
        </row>
        <row r="17">
          <cell r="A17" t="str">
            <v>B2.7</v>
          </cell>
          <cell r="B17" t="str">
            <v>opieka paliatywna i hospicyjna</v>
          </cell>
          <cell r="C17">
            <v>28947</v>
          </cell>
          <cell r="D17">
            <v>28947</v>
          </cell>
        </row>
        <row r="18">
          <cell r="A18" t="str">
            <v>B2.8</v>
          </cell>
          <cell r="B18" t="str">
            <v>leczenie stomatologiczne</v>
          </cell>
          <cell r="C18">
            <v>127230</v>
          </cell>
          <cell r="D18">
            <v>127230</v>
          </cell>
        </row>
        <row r="19">
          <cell r="A19" t="str">
            <v>B2.9</v>
          </cell>
          <cell r="B19" t="str">
            <v>lecznictwo uzdrowiskowe</v>
          </cell>
          <cell r="C19">
            <v>42042</v>
          </cell>
          <cell r="D19">
            <v>42042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3387</v>
          </cell>
          <cell r="D20">
            <v>3387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10183</v>
          </cell>
          <cell r="D21">
            <v>10183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136438</v>
          </cell>
          <cell r="D22">
            <v>136438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54913</v>
          </cell>
          <cell r="D23">
            <v>54913</v>
          </cell>
        </row>
        <row r="24">
          <cell r="A24" t="str">
            <v>B2.14</v>
          </cell>
          <cell r="B24" t="str">
            <v>refundacja, z tego:</v>
          </cell>
          <cell r="C24">
            <v>462588</v>
          </cell>
          <cell r="D24">
            <v>462588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460088</v>
          </cell>
          <cell r="D25">
            <v>460088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2000</v>
          </cell>
          <cell r="D26">
            <v>2000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500</v>
          </cell>
          <cell r="D27">
            <v>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15510</v>
          </cell>
          <cell r="D32">
            <v>15510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118011</v>
          </cell>
          <cell r="D36">
            <v>118011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29357</v>
          </cell>
          <cell r="D37">
            <v>29357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663081</v>
          </cell>
          <cell r="D38">
            <v>663081</v>
          </cell>
        </row>
        <row r="39">
          <cell r="A39" t="str">
            <v>D.</v>
          </cell>
          <cell r="B39" t="str">
            <v>Koszty administracyjne ( D1+...+D8 )</v>
          </cell>
          <cell r="C39">
            <v>25683</v>
          </cell>
          <cell r="D39">
            <v>25683</v>
          </cell>
        </row>
        <row r="40">
          <cell r="A40" t="str">
            <v>D1</v>
          </cell>
          <cell r="B40" t="str">
            <v>zużycie materiałów i energii</v>
          </cell>
          <cell r="C40">
            <v>903</v>
          </cell>
          <cell r="D40">
            <v>903</v>
          </cell>
        </row>
        <row r="41">
          <cell r="A41" t="str">
            <v>D2</v>
          </cell>
          <cell r="B41" t="str">
            <v>usługi obce</v>
          </cell>
          <cell r="C41">
            <v>2803</v>
          </cell>
          <cell r="D41">
            <v>2803</v>
          </cell>
        </row>
        <row r="42">
          <cell r="A42" t="str">
            <v>D3</v>
          </cell>
          <cell r="B42" t="str">
            <v>podatki i opłaty, z tego</v>
          </cell>
          <cell r="C42">
            <v>265</v>
          </cell>
          <cell r="D42">
            <v>265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31</v>
          </cell>
          <cell r="D43">
            <v>31</v>
          </cell>
        </row>
        <row r="44">
          <cell r="A44" t="str">
            <v>D3.1.1</v>
          </cell>
          <cell r="B44" t="str">
            <v>podatek od nieruchomości</v>
          </cell>
          <cell r="C44">
            <v>31</v>
          </cell>
          <cell r="D44">
            <v>31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0</v>
          </cell>
          <cell r="D45">
            <v>0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220</v>
          </cell>
          <cell r="D48">
            <v>220</v>
          </cell>
        </row>
        <row r="49">
          <cell r="A49" t="str">
            <v>D3.6</v>
          </cell>
          <cell r="B49" t="str">
            <v>inne</v>
          </cell>
          <cell r="C49">
            <v>14</v>
          </cell>
          <cell r="D49">
            <v>14</v>
          </cell>
        </row>
        <row r="50">
          <cell r="A50" t="str">
            <v>D4</v>
          </cell>
          <cell r="B50" t="str">
            <v>wynagrodzenia, w tym:</v>
          </cell>
          <cell r="C50">
            <v>16033</v>
          </cell>
          <cell r="D50">
            <v>16033</v>
          </cell>
        </row>
        <row r="51">
          <cell r="A51" t="str">
            <v>D4.1</v>
          </cell>
          <cell r="B51" t="str">
            <v>wynagrodzenia bezosobowe</v>
          </cell>
          <cell r="C51">
            <v>144</v>
          </cell>
          <cell r="D51">
            <v>144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3604</v>
          </cell>
          <cell r="D52">
            <v>3604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2753</v>
          </cell>
          <cell r="D53">
            <v>2753</v>
          </cell>
        </row>
        <row r="54">
          <cell r="A54" t="str">
            <v>D5.2</v>
          </cell>
          <cell r="B54" t="str">
            <v>składki na Fundusz Pracy</v>
          </cell>
          <cell r="C54">
            <v>393</v>
          </cell>
          <cell r="D54">
            <v>393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458</v>
          </cell>
          <cell r="D56">
            <v>458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1730</v>
          </cell>
          <cell r="D58">
            <v>1730</v>
          </cell>
        </row>
        <row r="59">
          <cell r="A59" t="str">
            <v>D8</v>
          </cell>
          <cell r="B59" t="str">
            <v>pozostałe koszty administracyjne</v>
          </cell>
          <cell r="C59">
            <v>345</v>
          </cell>
          <cell r="D59">
            <v>345</v>
          </cell>
        </row>
        <row r="60">
          <cell r="A60" t="str">
            <v>F</v>
          </cell>
          <cell r="B60" t="str">
            <v>Pozostałe koszty (F1+...+F4)</v>
          </cell>
          <cell r="C60">
            <v>41705</v>
          </cell>
          <cell r="D60">
            <v>41705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5</v>
          </cell>
          <cell r="D61">
            <v>5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40500</v>
          </cell>
          <cell r="D62">
            <v>40500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1200</v>
          </cell>
          <cell r="D64">
            <v>1200</v>
          </cell>
        </row>
        <row r="65">
          <cell r="A65" t="str">
            <v>H</v>
          </cell>
          <cell r="B65" t="str">
            <v>Koszty finansowe</v>
          </cell>
          <cell r="C65">
            <v>5000</v>
          </cell>
          <cell r="D65">
            <v>5000</v>
          </cell>
        </row>
      </sheetData>
      <sheetData sheetId="6">
        <row r="7">
          <cell r="A7" t="str">
            <v>B2.1</v>
          </cell>
          <cell r="B7" t="str">
            <v>podstawowa opieka zdrowotna</v>
          </cell>
          <cell r="C7">
            <v>265273</v>
          </cell>
          <cell r="D7">
            <v>265273</v>
          </cell>
        </row>
        <row r="8">
          <cell r="A8" t="str">
            <v>B2.2</v>
          </cell>
          <cell r="B8" t="str">
            <v>ambulatoryjna opieka specjalistyczna</v>
          </cell>
          <cell r="C8">
            <v>150351</v>
          </cell>
          <cell r="D8">
            <v>150351</v>
          </cell>
        </row>
        <row r="9">
          <cell r="A9" t="str">
            <v>B2.3</v>
          </cell>
          <cell r="B9" t="str">
            <v>leczenie szpitalne, w tym:</v>
          </cell>
          <cell r="C9">
            <v>965541</v>
          </cell>
          <cell r="D9">
            <v>965541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86838</v>
          </cell>
          <cell r="D10">
            <v>86838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80231</v>
          </cell>
          <cell r="D11">
            <v>80231</v>
          </cell>
        </row>
        <row r="12">
          <cell r="A12" t="str">
            <v>B2.3.2</v>
          </cell>
          <cell r="B12" t="str">
            <v>chemioterapia, w tym:</v>
          </cell>
          <cell r="C12">
            <v>37566</v>
          </cell>
          <cell r="D12">
            <v>37566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15501</v>
          </cell>
          <cell r="D13">
            <v>15501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100600</v>
          </cell>
          <cell r="D14">
            <v>100600</v>
          </cell>
        </row>
        <row r="15">
          <cell r="A15" t="str">
            <v>B2.5</v>
          </cell>
          <cell r="B15" t="str">
            <v>rehabilitacja lecznicza</v>
          </cell>
          <cell r="C15">
            <v>55567</v>
          </cell>
          <cell r="D15">
            <v>55567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29314</v>
          </cell>
          <cell r="D16">
            <v>29314</v>
          </cell>
        </row>
        <row r="17">
          <cell r="A17" t="str">
            <v>B2.7</v>
          </cell>
          <cell r="B17" t="str">
            <v>opieka paliatywna i hospicyjna</v>
          </cell>
          <cell r="C17">
            <v>16918</v>
          </cell>
          <cell r="D17">
            <v>16918</v>
          </cell>
        </row>
        <row r="18">
          <cell r="A18" t="str">
            <v>B2.8</v>
          </cell>
          <cell r="B18" t="str">
            <v>leczenie stomatologiczne</v>
          </cell>
          <cell r="C18">
            <v>40702</v>
          </cell>
          <cell r="D18">
            <v>40702</v>
          </cell>
        </row>
        <row r="19">
          <cell r="A19" t="str">
            <v>B2.9</v>
          </cell>
          <cell r="B19" t="str">
            <v>lecznictwo uzdrowiskowe</v>
          </cell>
          <cell r="C19">
            <v>14300</v>
          </cell>
          <cell r="D19">
            <v>14300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1655</v>
          </cell>
          <cell r="D20">
            <v>1655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5429</v>
          </cell>
          <cell r="D21">
            <v>5429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55869</v>
          </cell>
          <cell r="D22">
            <v>55869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27300</v>
          </cell>
          <cell r="D23">
            <v>27300</v>
          </cell>
        </row>
        <row r="24">
          <cell r="A24" t="str">
            <v>B2.14</v>
          </cell>
          <cell r="B24" t="str">
            <v>refundacja, z tego:</v>
          </cell>
          <cell r="C24">
            <v>201000</v>
          </cell>
          <cell r="D24">
            <v>201000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200500</v>
          </cell>
          <cell r="D25">
            <v>200500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</v>
          </cell>
          <cell r="D26">
            <v>300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200</v>
          </cell>
          <cell r="D27">
            <v>200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10238</v>
          </cell>
          <cell r="D32">
            <v>10238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1000</v>
          </cell>
          <cell r="D34">
            <v>1000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66857</v>
          </cell>
          <cell r="D36">
            <v>66857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13137</v>
          </cell>
          <cell r="D37">
            <v>13137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296732</v>
          </cell>
          <cell r="D38">
            <v>296732</v>
          </cell>
        </row>
        <row r="39">
          <cell r="A39" t="str">
            <v>D.</v>
          </cell>
          <cell r="B39" t="str">
            <v>Koszty administracyjne ( D1+...+D8 )</v>
          </cell>
          <cell r="C39">
            <v>17516</v>
          </cell>
          <cell r="D39">
            <v>17516</v>
          </cell>
        </row>
        <row r="40">
          <cell r="A40" t="str">
            <v>D1</v>
          </cell>
          <cell r="B40" t="str">
            <v>zużycie materiałów i energii</v>
          </cell>
          <cell r="C40">
            <v>810</v>
          </cell>
          <cell r="D40">
            <v>810</v>
          </cell>
        </row>
        <row r="41">
          <cell r="A41" t="str">
            <v>D2</v>
          </cell>
          <cell r="B41" t="str">
            <v>usługi obce</v>
          </cell>
          <cell r="C41">
            <v>2103</v>
          </cell>
          <cell r="D41">
            <v>2103</v>
          </cell>
        </row>
        <row r="42">
          <cell r="A42" t="str">
            <v>D3</v>
          </cell>
          <cell r="B42" t="str">
            <v>podatki i opłaty, z tego</v>
          </cell>
          <cell r="C42">
            <v>78</v>
          </cell>
          <cell r="D42">
            <v>78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15</v>
          </cell>
          <cell r="D43">
            <v>15</v>
          </cell>
        </row>
        <row r="44">
          <cell r="A44" t="str">
            <v>D3.1.1</v>
          </cell>
          <cell r="B44" t="str">
            <v>podatek od nieruchomości</v>
          </cell>
          <cell r="C44">
            <v>15</v>
          </cell>
          <cell r="D44">
            <v>15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0</v>
          </cell>
          <cell r="D45">
            <v>0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40</v>
          </cell>
          <cell r="D48">
            <v>40</v>
          </cell>
        </row>
        <row r="49">
          <cell r="A49" t="str">
            <v>D3.6</v>
          </cell>
          <cell r="B49" t="str">
            <v>inne</v>
          </cell>
          <cell r="C49">
            <v>23</v>
          </cell>
          <cell r="D49">
            <v>23</v>
          </cell>
        </row>
        <row r="50">
          <cell r="A50" t="str">
            <v>D4</v>
          </cell>
          <cell r="B50" t="str">
            <v>wynagrodzenia, w tym:</v>
          </cell>
          <cell r="C50">
            <v>9106</v>
          </cell>
          <cell r="D50">
            <v>9106</v>
          </cell>
        </row>
        <row r="51">
          <cell r="A51" t="str">
            <v>D4.1</v>
          </cell>
          <cell r="B51" t="str">
            <v>wynagrodzenia bezosobowe</v>
          </cell>
          <cell r="C51">
            <v>0</v>
          </cell>
          <cell r="D51">
            <v>0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2112</v>
          </cell>
          <cell r="D52">
            <v>2112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1562</v>
          </cell>
          <cell r="D53">
            <v>1562</v>
          </cell>
        </row>
        <row r="54">
          <cell r="A54" t="str">
            <v>D5.2</v>
          </cell>
          <cell r="B54" t="str">
            <v>składki na Fundusz Pracy</v>
          </cell>
          <cell r="C54">
            <v>222</v>
          </cell>
          <cell r="D54">
            <v>222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328</v>
          </cell>
          <cell r="D56">
            <v>328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3000</v>
          </cell>
          <cell r="D58">
            <v>3000</v>
          </cell>
        </row>
        <row r="59">
          <cell r="A59" t="str">
            <v>D8</v>
          </cell>
          <cell r="B59" t="str">
            <v>pozostałe koszty administracyjne</v>
          </cell>
          <cell r="C59">
            <v>307</v>
          </cell>
          <cell r="D59">
            <v>307</v>
          </cell>
        </row>
        <row r="60">
          <cell r="A60" t="str">
            <v>F</v>
          </cell>
          <cell r="B60" t="str">
            <v>Pozostałe koszty (F1+...+F4)</v>
          </cell>
          <cell r="C60">
            <v>4590</v>
          </cell>
          <cell r="D60">
            <v>4590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3730</v>
          </cell>
          <cell r="D62">
            <v>3730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860</v>
          </cell>
          <cell r="D64">
            <v>860</v>
          </cell>
        </row>
        <row r="65">
          <cell r="A65" t="str">
            <v>H</v>
          </cell>
          <cell r="B65" t="str">
            <v>Koszty finansowe</v>
          </cell>
          <cell r="C65">
            <v>750</v>
          </cell>
          <cell r="D65">
            <v>750</v>
          </cell>
        </row>
      </sheetData>
      <sheetData sheetId="7">
        <row r="7">
          <cell r="A7" t="str">
            <v>B2.1</v>
          </cell>
          <cell r="B7" t="str">
            <v>podstawowa opieka zdrowotna</v>
          </cell>
          <cell r="C7">
            <v>675550</v>
          </cell>
          <cell r="D7">
            <v>675550</v>
          </cell>
        </row>
        <row r="8">
          <cell r="A8" t="str">
            <v>B2.2</v>
          </cell>
          <cell r="B8" t="str">
            <v>ambulatoryjna opieka specjalistyczna</v>
          </cell>
          <cell r="C8">
            <v>365779</v>
          </cell>
          <cell r="D8">
            <v>365779</v>
          </cell>
        </row>
        <row r="9">
          <cell r="A9" t="str">
            <v>B2.3</v>
          </cell>
          <cell r="B9" t="str">
            <v>leczenie szpitalne, w tym:</v>
          </cell>
          <cell r="C9">
            <v>2674060</v>
          </cell>
          <cell r="D9">
            <v>2674060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246896</v>
          </cell>
          <cell r="D10">
            <v>246896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222164</v>
          </cell>
          <cell r="D11">
            <v>222164</v>
          </cell>
        </row>
        <row r="12">
          <cell r="A12" t="str">
            <v>B2.3.2</v>
          </cell>
          <cell r="B12" t="str">
            <v>chemioterapia, w tym:</v>
          </cell>
          <cell r="C12">
            <v>88342</v>
          </cell>
          <cell r="D12">
            <v>88342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35975</v>
          </cell>
          <cell r="D13">
            <v>35975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181647</v>
          </cell>
          <cell r="D14">
            <v>181647</v>
          </cell>
        </row>
        <row r="15">
          <cell r="A15" t="str">
            <v>B2.5</v>
          </cell>
          <cell r="B15" t="str">
            <v>rehabilitacja lecznicza</v>
          </cell>
          <cell r="C15">
            <v>137218</v>
          </cell>
          <cell r="D15">
            <v>137218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67429</v>
          </cell>
          <cell r="D16">
            <v>67429</v>
          </cell>
        </row>
        <row r="17">
          <cell r="A17" t="str">
            <v>B2.7</v>
          </cell>
          <cell r="B17" t="str">
            <v>opieka paliatywna i hospicyjna</v>
          </cell>
          <cell r="C17">
            <v>35674</v>
          </cell>
          <cell r="D17">
            <v>35674</v>
          </cell>
        </row>
        <row r="18">
          <cell r="A18" t="str">
            <v>B2.8</v>
          </cell>
          <cell r="B18" t="str">
            <v>leczenie stomatologiczne</v>
          </cell>
          <cell r="C18">
            <v>121656</v>
          </cell>
          <cell r="D18">
            <v>121656</v>
          </cell>
        </row>
        <row r="19">
          <cell r="A19" t="str">
            <v>B2.9</v>
          </cell>
          <cell r="B19" t="str">
            <v>lecznictwo uzdrowiskowe</v>
          </cell>
          <cell r="C19">
            <v>43500</v>
          </cell>
          <cell r="D19">
            <v>43500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3079</v>
          </cell>
          <cell r="D20">
            <v>3079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11626</v>
          </cell>
          <cell r="D21">
            <v>11626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153997</v>
          </cell>
          <cell r="D22">
            <v>153997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67421</v>
          </cell>
          <cell r="D23">
            <v>67421</v>
          </cell>
        </row>
        <row r="24">
          <cell r="A24" t="str">
            <v>B2.14</v>
          </cell>
          <cell r="B24" t="str">
            <v>refundacja, z tego:</v>
          </cell>
          <cell r="C24">
            <v>613783</v>
          </cell>
          <cell r="D24">
            <v>613783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612070</v>
          </cell>
          <cell r="D25">
            <v>612070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889</v>
          </cell>
          <cell r="D26">
            <v>889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824</v>
          </cell>
          <cell r="D27">
            <v>824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14858</v>
          </cell>
          <cell r="D32">
            <v>14858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159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125805</v>
          </cell>
          <cell r="D36">
            <v>125805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41435</v>
          </cell>
          <cell r="D37">
            <v>41435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871922</v>
          </cell>
          <cell r="D38">
            <v>871922</v>
          </cell>
        </row>
        <row r="39">
          <cell r="A39" t="str">
            <v>D.</v>
          </cell>
          <cell r="B39" t="str">
            <v>Koszty administracyjne ( D1+...+D8 )</v>
          </cell>
          <cell r="C39">
            <v>31624</v>
          </cell>
          <cell r="D39">
            <v>31624</v>
          </cell>
        </row>
        <row r="40">
          <cell r="A40" t="str">
            <v>D1</v>
          </cell>
          <cell r="B40" t="str">
            <v>zużycie materiałów i energii</v>
          </cell>
          <cell r="C40">
            <v>1256</v>
          </cell>
          <cell r="D40">
            <v>1256</v>
          </cell>
        </row>
        <row r="41">
          <cell r="A41" t="str">
            <v>D2</v>
          </cell>
          <cell r="B41" t="str">
            <v>usługi obce</v>
          </cell>
          <cell r="C41">
            <v>5267</v>
          </cell>
          <cell r="D41">
            <v>5267</v>
          </cell>
        </row>
        <row r="42">
          <cell r="A42" t="str">
            <v>D3</v>
          </cell>
          <cell r="B42" t="str">
            <v>podatki i opłaty, z tego</v>
          </cell>
          <cell r="C42">
            <v>254</v>
          </cell>
          <cell r="D42">
            <v>254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11</v>
          </cell>
          <cell r="D43">
            <v>11</v>
          </cell>
        </row>
        <row r="44">
          <cell r="A44" t="str">
            <v>D3.1.1</v>
          </cell>
          <cell r="B44" t="str">
            <v>podatek od nieruchomości</v>
          </cell>
          <cell r="C44">
            <v>11</v>
          </cell>
          <cell r="D44">
            <v>11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18</v>
          </cell>
          <cell r="D45">
            <v>18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221</v>
          </cell>
          <cell r="D48">
            <v>221</v>
          </cell>
        </row>
        <row r="49">
          <cell r="A49" t="str">
            <v>D3.6</v>
          </cell>
          <cell r="B49" t="str">
            <v>inne</v>
          </cell>
          <cell r="C49">
            <v>4</v>
          </cell>
          <cell r="D49">
            <v>4</v>
          </cell>
        </row>
        <row r="50">
          <cell r="A50" t="str">
            <v>D4</v>
          </cell>
          <cell r="B50" t="str">
            <v>wynagrodzenia, w tym:</v>
          </cell>
          <cell r="C50">
            <v>18720</v>
          </cell>
          <cell r="D50">
            <v>18720</v>
          </cell>
        </row>
        <row r="51">
          <cell r="A51" t="str">
            <v>D4.1</v>
          </cell>
          <cell r="B51" t="str">
            <v>wynagrodzenia bezosobowe</v>
          </cell>
          <cell r="C51">
            <v>90</v>
          </cell>
          <cell r="D51">
            <v>90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4207</v>
          </cell>
          <cell r="D52">
            <v>4207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3213</v>
          </cell>
          <cell r="D53">
            <v>3213</v>
          </cell>
        </row>
        <row r="54">
          <cell r="A54" t="str">
            <v>D5.2</v>
          </cell>
          <cell r="B54" t="str">
            <v>składki na Fundusz Pracy</v>
          </cell>
          <cell r="C54">
            <v>459</v>
          </cell>
          <cell r="D54">
            <v>459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535</v>
          </cell>
          <cell r="D56">
            <v>535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1630</v>
          </cell>
          <cell r="D58">
            <v>1630</v>
          </cell>
        </row>
        <row r="59">
          <cell r="A59" t="str">
            <v>D8</v>
          </cell>
          <cell r="B59" t="str">
            <v>pozostałe koszty administracyjne</v>
          </cell>
          <cell r="C59">
            <v>290</v>
          </cell>
          <cell r="D59">
            <v>290</v>
          </cell>
        </row>
        <row r="60">
          <cell r="A60" t="str">
            <v>F</v>
          </cell>
          <cell r="B60" t="str">
            <v>Pozostałe koszty (F1+...+F4)</v>
          </cell>
          <cell r="C60">
            <v>17000</v>
          </cell>
          <cell r="D60">
            <v>17000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15000</v>
          </cell>
          <cell r="D62">
            <v>15000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2000</v>
          </cell>
          <cell r="D64">
            <v>2000</v>
          </cell>
        </row>
        <row r="65">
          <cell r="A65" t="str">
            <v>H</v>
          </cell>
          <cell r="B65" t="str">
            <v>Koszty finansowe</v>
          </cell>
          <cell r="C65">
            <v>5000</v>
          </cell>
          <cell r="D65">
            <v>5000</v>
          </cell>
        </row>
      </sheetData>
      <sheetData sheetId="8">
        <row r="7">
          <cell r="A7" t="str">
            <v>B2.1</v>
          </cell>
          <cell r="B7" t="str">
            <v>podstawowa opieka zdrowotna</v>
          </cell>
          <cell r="C7">
            <v>883000</v>
          </cell>
          <cell r="D7">
            <v>883000</v>
          </cell>
        </row>
        <row r="8">
          <cell r="A8" t="str">
            <v>B2.2</v>
          </cell>
          <cell r="B8" t="str">
            <v>ambulatoryjna opieka specjalistyczna</v>
          </cell>
          <cell r="C8">
            <v>494713</v>
          </cell>
          <cell r="D8">
            <v>494713</v>
          </cell>
        </row>
        <row r="9">
          <cell r="A9" t="str">
            <v>B2.3</v>
          </cell>
          <cell r="B9" t="str">
            <v>leczenie szpitalne, w tym:</v>
          </cell>
          <cell r="C9">
            <v>3302116</v>
          </cell>
          <cell r="D9">
            <v>3302116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340469</v>
          </cell>
          <cell r="D10">
            <v>340469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308064</v>
          </cell>
          <cell r="D11">
            <v>308064</v>
          </cell>
        </row>
        <row r="12">
          <cell r="A12" t="str">
            <v>B2.3.2</v>
          </cell>
          <cell r="B12" t="str">
            <v>chemioterapia, w tym:</v>
          </cell>
          <cell r="C12">
            <v>104462</v>
          </cell>
          <cell r="D12">
            <v>104462</v>
          </cell>
        </row>
        <row r="13">
          <cell r="A13" t="str">
            <v>B2.3.2.1</v>
          </cell>
          <cell r="B13" t="str">
            <v>leki stosowane w chemioterapii</v>
          </cell>
          <cell r="C13">
            <v>52342</v>
          </cell>
          <cell r="D13">
            <v>52342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202371</v>
          </cell>
          <cell r="D14">
            <v>202371</v>
          </cell>
        </row>
        <row r="15">
          <cell r="A15" t="str">
            <v>B2.5</v>
          </cell>
          <cell r="B15" t="str">
            <v>rehabilitacja lecznicza</v>
          </cell>
          <cell r="C15">
            <v>207862</v>
          </cell>
          <cell r="D15">
            <v>207862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157959</v>
          </cell>
          <cell r="D16">
            <v>157959</v>
          </cell>
        </row>
        <row r="17">
          <cell r="A17" t="str">
            <v>B2.7</v>
          </cell>
          <cell r="B17" t="str">
            <v>opieka paliatywna i hospicyjna</v>
          </cell>
          <cell r="C17">
            <v>71484</v>
          </cell>
          <cell r="D17">
            <v>71484</v>
          </cell>
        </row>
        <row r="18">
          <cell r="A18" t="str">
            <v>B2.8</v>
          </cell>
          <cell r="B18" t="str">
            <v>leczenie stomatologiczne</v>
          </cell>
          <cell r="C18">
            <v>195517</v>
          </cell>
          <cell r="D18">
            <v>195517</v>
          </cell>
        </row>
        <row r="19">
          <cell r="A19" t="str">
            <v>B2.9</v>
          </cell>
          <cell r="B19" t="str">
            <v>lecznictwo uzdrowiskowe</v>
          </cell>
          <cell r="C19">
            <v>52380</v>
          </cell>
          <cell r="D19">
            <v>52380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1750</v>
          </cell>
          <cell r="D20">
            <v>1750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15077</v>
          </cell>
          <cell r="D21">
            <v>15077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174477</v>
          </cell>
          <cell r="D22">
            <v>174477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79000</v>
          </cell>
          <cell r="D23">
            <v>79000</v>
          </cell>
        </row>
        <row r="24">
          <cell r="A24" t="str">
            <v>B2.14</v>
          </cell>
          <cell r="B24" t="str">
            <v>refundacja, z tego:</v>
          </cell>
          <cell r="C24">
            <v>705973</v>
          </cell>
          <cell r="D24">
            <v>705973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701973</v>
          </cell>
          <cell r="D25">
            <v>701973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3000</v>
          </cell>
          <cell r="D26">
            <v>3000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8854</v>
          </cell>
          <cell r="D32">
            <v>8854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3248</v>
          </cell>
          <cell r="D34">
            <v>3248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590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154271</v>
          </cell>
          <cell r="D36">
            <v>154271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50527</v>
          </cell>
          <cell r="D37">
            <v>50527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1066379</v>
          </cell>
          <cell r="D38">
            <v>1066379</v>
          </cell>
        </row>
        <row r="39">
          <cell r="A39" t="str">
            <v>D.</v>
          </cell>
          <cell r="B39" t="str">
            <v>Koszty administracyjne ( D1+...+D8 )</v>
          </cell>
          <cell r="C39">
            <v>42539</v>
          </cell>
          <cell r="D39">
            <v>42539</v>
          </cell>
        </row>
        <row r="40">
          <cell r="A40" t="str">
            <v>D1</v>
          </cell>
          <cell r="B40" t="str">
            <v>zużycie materiałów i energii</v>
          </cell>
          <cell r="C40">
            <v>1750</v>
          </cell>
          <cell r="D40">
            <v>1750</v>
          </cell>
        </row>
        <row r="41">
          <cell r="A41" t="str">
            <v>D2</v>
          </cell>
          <cell r="B41" t="str">
            <v>usługi obce</v>
          </cell>
          <cell r="C41">
            <v>5827</v>
          </cell>
          <cell r="D41">
            <v>5827</v>
          </cell>
        </row>
        <row r="42">
          <cell r="A42" t="str">
            <v>D3</v>
          </cell>
          <cell r="B42" t="str">
            <v>podatki i opłaty, z tego</v>
          </cell>
          <cell r="C42">
            <v>290</v>
          </cell>
          <cell r="D42">
            <v>290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24</v>
          </cell>
          <cell r="D43">
            <v>24</v>
          </cell>
        </row>
        <row r="44">
          <cell r="A44" t="str">
            <v>D3.1.1</v>
          </cell>
          <cell r="B44" t="str">
            <v>podatek od nieruchomości</v>
          </cell>
          <cell r="C44">
            <v>24</v>
          </cell>
          <cell r="D44">
            <v>24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54</v>
          </cell>
          <cell r="D45">
            <v>54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152</v>
          </cell>
          <cell r="D48">
            <v>152</v>
          </cell>
        </row>
        <row r="49">
          <cell r="A49" t="str">
            <v>D3.6</v>
          </cell>
          <cell r="B49" t="str">
            <v>inne</v>
          </cell>
          <cell r="C49">
            <v>60</v>
          </cell>
          <cell r="D49">
            <v>60</v>
          </cell>
        </row>
        <row r="50">
          <cell r="A50" t="str">
            <v>D4</v>
          </cell>
          <cell r="B50" t="str">
            <v>wynagrodzenia, w tym:</v>
          </cell>
          <cell r="C50">
            <v>23725</v>
          </cell>
          <cell r="D50">
            <v>23725</v>
          </cell>
        </row>
        <row r="51">
          <cell r="A51" t="str">
            <v>D4.1</v>
          </cell>
          <cell r="B51" t="str">
            <v>wynagrodzenia bezosobowe</v>
          </cell>
          <cell r="C51">
            <v>24</v>
          </cell>
          <cell r="D51">
            <v>24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5338</v>
          </cell>
          <cell r="D52">
            <v>5338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4071</v>
          </cell>
          <cell r="D53">
            <v>4071</v>
          </cell>
        </row>
        <row r="54">
          <cell r="A54" t="str">
            <v>D5.2</v>
          </cell>
          <cell r="B54" t="str">
            <v>składki na Fundusz Pracy</v>
          </cell>
          <cell r="C54">
            <v>584</v>
          </cell>
          <cell r="D54">
            <v>584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683</v>
          </cell>
          <cell r="D56">
            <v>683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5300</v>
          </cell>
          <cell r="D58">
            <v>5300</v>
          </cell>
        </row>
        <row r="59">
          <cell r="A59" t="str">
            <v>D8</v>
          </cell>
          <cell r="B59" t="str">
            <v>pozostałe koszty administracyjne</v>
          </cell>
          <cell r="C59">
            <v>309</v>
          </cell>
          <cell r="D59">
            <v>309</v>
          </cell>
        </row>
        <row r="60">
          <cell r="A60" t="str">
            <v>F</v>
          </cell>
          <cell r="B60" t="str">
            <v>Pozostałe koszty (F1+...+F4)</v>
          </cell>
          <cell r="C60">
            <v>19360</v>
          </cell>
          <cell r="D60">
            <v>19360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16095</v>
          </cell>
          <cell r="D62">
            <v>16095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3265</v>
          </cell>
          <cell r="D64">
            <v>3265</v>
          </cell>
        </row>
        <row r="65">
          <cell r="A65" t="str">
            <v>H</v>
          </cell>
          <cell r="B65" t="str">
            <v>Koszty finansowe</v>
          </cell>
          <cell r="C65">
            <v>300</v>
          </cell>
          <cell r="D65">
            <v>300</v>
          </cell>
        </row>
      </sheetData>
      <sheetData sheetId="9">
        <row r="7">
          <cell r="A7" t="str">
            <v>B2.1</v>
          </cell>
          <cell r="B7" t="str">
            <v>podstawowa opieka zdrowotna</v>
          </cell>
          <cell r="C7">
            <v>1490323</v>
          </cell>
          <cell r="D7">
            <v>1490323</v>
          </cell>
        </row>
        <row r="8">
          <cell r="A8" t="str">
            <v>B2.2</v>
          </cell>
          <cell r="B8" t="str">
            <v>ambulatoryjna opieka specjalistyczna</v>
          </cell>
          <cell r="C8">
            <v>764334</v>
          </cell>
          <cell r="D8">
            <v>764334</v>
          </cell>
        </row>
        <row r="9">
          <cell r="A9" t="str">
            <v>B2.3</v>
          </cell>
          <cell r="B9" t="str">
            <v>leczenie szpitalne, w tym:</v>
          </cell>
          <cell r="C9">
            <v>5868850</v>
          </cell>
          <cell r="D9">
            <v>5868850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620540</v>
          </cell>
          <cell r="D10">
            <v>620540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563395</v>
          </cell>
          <cell r="D11">
            <v>563395</v>
          </cell>
        </row>
        <row r="12">
          <cell r="A12" t="str">
            <v>B2.3.2</v>
          </cell>
          <cell r="B12" t="str">
            <v>chemioterapia, w tym:</v>
          </cell>
          <cell r="C12">
            <v>223251</v>
          </cell>
          <cell r="D12">
            <v>223251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107702</v>
          </cell>
          <cell r="D13">
            <v>107702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385950</v>
          </cell>
          <cell r="D14">
            <v>385950</v>
          </cell>
        </row>
        <row r="15">
          <cell r="A15" t="str">
            <v>B2.5</v>
          </cell>
          <cell r="B15" t="str">
            <v>rehabilitacja lecznicza</v>
          </cell>
          <cell r="C15">
            <v>422141</v>
          </cell>
          <cell r="D15">
            <v>422141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178977</v>
          </cell>
          <cell r="D16">
            <v>178977</v>
          </cell>
        </row>
        <row r="17">
          <cell r="A17" t="str">
            <v>B2.7</v>
          </cell>
          <cell r="B17" t="str">
            <v>opieka paliatywna i hospicyjna</v>
          </cell>
          <cell r="C17">
            <v>70018</v>
          </cell>
          <cell r="D17">
            <v>70018</v>
          </cell>
        </row>
        <row r="18">
          <cell r="A18" t="str">
            <v>B2.8</v>
          </cell>
          <cell r="B18" t="str">
            <v>leczenie stomatologiczne</v>
          </cell>
          <cell r="C18">
            <v>215041</v>
          </cell>
          <cell r="D18">
            <v>215041</v>
          </cell>
        </row>
        <row r="19">
          <cell r="A19" t="str">
            <v>B2.9</v>
          </cell>
          <cell r="B19" t="str">
            <v>lecznictwo uzdrowiskowe</v>
          </cell>
          <cell r="C19">
            <v>102936</v>
          </cell>
          <cell r="D19">
            <v>102936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8554</v>
          </cell>
          <cell r="D20">
            <v>8554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24388</v>
          </cell>
          <cell r="D21">
            <v>24388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232992</v>
          </cell>
          <cell r="D22">
            <v>232992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140000</v>
          </cell>
          <cell r="D23">
            <v>140000</v>
          </cell>
        </row>
        <row r="24">
          <cell r="A24" t="str">
            <v>B2.14</v>
          </cell>
          <cell r="B24" t="str">
            <v>refundacja, z tego:</v>
          </cell>
          <cell r="C24">
            <v>1118984</v>
          </cell>
          <cell r="D24">
            <v>1118984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1111278</v>
          </cell>
          <cell r="D25">
            <v>1111278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3058</v>
          </cell>
          <cell r="D26">
            <v>3058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4648</v>
          </cell>
          <cell r="D27">
            <v>4648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0</v>
          </cell>
          <cell r="D32">
            <v>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12655</v>
          </cell>
          <cell r="D34">
            <v>12655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284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238333</v>
          </cell>
          <cell r="D36">
            <v>238333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79276</v>
          </cell>
          <cell r="D37">
            <v>79276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1790081</v>
          </cell>
          <cell r="D38">
            <v>1790081</v>
          </cell>
        </row>
        <row r="39">
          <cell r="A39" t="str">
            <v>D.</v>
          </cell>
          <cell r="B39" t="str">
            <v>Koszty administracyjne ( D1+...+D8 )</v>
          </cell>
          <cell r="C39">
            <v>70562</v>
          </cell>
          <cell r="D39">
            <v>70562</v>
          </cell>
        </row>
        <row r="40">
          <cell r="A40" t="str">
            <v>D1</v>
          </cell>
          <cell r="B40" t="str">
            <v>zużycie materiałów i energii</v>
          </cell>
          <cell r="C40">
            <v>2026</v>
          </cell>
          <cell r="D40">
            <v>2026</v>
          </cell>
        </row>
        <row r="41">
          <cell r="A41" t="str">
            <v>D2</v>
          </cell>
          <cell r="B41" t="str">
            <v>usługi obce</v>
          </cell>
          <cell r="C41">
            <v>12156</v>
          </cell>
          <cell r="D41">
            <v>12156</v>
          </cell>
        </row>
        <row r="42">
          <cell r="A42" t="str">
            <v>D3</v>
          </cell>
          <cell r="B42" t="str">
            <v>podatki i opłaty, z tego</v>
          </cell>
          <cell r="C42">
            <v>233</v>
          </cell>
          <cell r="D42">
            <v>233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20</v>
          </cell>
          <cell r="D43">
            <v>20</v>
          </cell>
        </row>
        <row r="44">
          <cell r="A44" t="str">
            <v>D3.1.1</v>
          </cell>
          <cell r="B44" t="str">
            <v>podatek od nieruchomości</v>
          </cell>
          <cell r="C44">
            <v>20</v>
          </cell>
          <cell r="D44">
            <v>20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12</v>
          </cell>
          <cell r="D45">
            <v>12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198</v>
          </cell>
          <cell r="D48">
            <v>198</v>
          </cell>
        </row>
        <row r="49">
          <cell r="A49" t="str">
            <v>D3.6</v>
          </cell>
          <cell r="B49" t="str">
            <v>inne</v>
          </cell>
          <cell r="C49">
            <v>3</v>
          </cell>
          <cell r="D49">
            <v>3</v>
          </cell>
        </row>
        <row r="50">
          <cell r="A50" t="str">
            <v>D4</v>
          </cell>
          <cell r="B50" t="str">
            <v>wynagrodzenia, w tym:</v>
          </cell>
          <cell r="C50">
            <v>43501</v>
          </cell>
          <cell r="D50">
            <v>43501</v>
          </cell>
        </row>
        <row r="51">
          <cell r="A51" t="str">
            <v>D4.1</v>
          </cell>
          <cell r="B51" t="str">
            <v>wynagrodzenia bezosobowe</v>
          </cell>
          <cell r="C51">
            <v>0</v>
          </cell>
          <cell r="D51">
            <v>0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9753</v>
          </cell>
          <cell r="D52">
            <v>9753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7466</v>
          </cell>
          <cell r="D53">
            <v>7466</v>
          </cell>
        </row>
        <row r="54">
          <cell r="A54" t="str">
            <v>D5.2</v>
          </cell>
          <cell r="B54" t="str">
            <v>składki na Fundusz Pracy</v>
          </cell>
          <cell r="C54">
            <v>1066</v>
          </cell>
          <cell r="D54">
            <v>1066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1221</v>
          </cell>
          <cell r="D56">
            <v>1221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2498</v>
          </cell>
          <cell r="D58">
            <v>2498</v>
          </cell>
        </row>
        <row r="59">
          <cell r="A59" t="str">
            <v>D8</v>
          </cell>
          <cell r="B59" t="str">
            <v>pozostałe koszty administracyjne</v>
          </cell>
          <cell r="C59">
            <v>395</v>
          </cell>
          <cell r="D59">
            <v>395</v>
          </cell>
        </row>
        <row r="60">
          <cell r="A60" t="str">
            <v>F</v>
          </cell>
          <cell r="B60" t="str">
            <v>Pozostałe koszty (F1+...+F4)</v>
          </cell>
          <cell r="C60">
            <v>21960</v>
          </cell>
          <cell r="D60">
            <v>21960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13828</v>
          </cell>
          <cell r="D62">
            <v>13828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8132</v>
          </cell>
          <cell r="D64">
            <v>8132</v>
          </cell>
        </row>
        <row r="65">
          <cell r="A65" t="str">
            <v>H</v>
          </cell>
          <cell r="B65" t="str">
            <v>Koszty finansowe</v>
          </cell>
          <cell r="C65">
            <v>9640</v>
          </cell>
          <cell r="D65">
            <v>9640</v>
          </cell>
        </row>
      </sheetData>
      <sheetData sheetId="10">
        <row r="7">
          <cell r="A7" t="str">
            <v>B2.1</v>
          </cell>
          <cell r="B7" t="str">
            <v>podstawowa opieka zdrowotna</v>
          </cell>
          <cell r="C7">
            <v>243249</v>
          </cell>
          <cell r="D7">
            <v>243249</v>
          </cell>
        </row>
        <row r="8">
          <cell r="A8" t="str">
            <v>B2.2</v>
          </cell>
          <cell r="B8" t="str">
            <v>ambulatoryjna opieka specjalistyczna</v>
          </cell>
          <cell r="C8">
            <v>131237</v>
          </cell>
          <cell r="D8">
            <v>131237</v>
          </cell>
        </row>
        <row r="9">
          <cell r="A9" t="str">
            <v>B2.3</v>
          </cell>
          <cell r="B9" t="str">
            <v>leczenie szpitalne, w tym:</v>
          </cell>
          <cell r="C9">
            <v>915362</v>
          </cell>
          <cell r="D9">
            <v>915362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70727</v>
          </cell>
          <cell r="D10">
            <v>70727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64597</v>
          </cell>
          <cell r="D11">
            <v>64597</v>
          </cell>
        </row>
        <row r="12">
          <cell r="A12" t="str">
            <v>B2.3.2</v>
          </cell>
          <cell r="B12" t="str">
            <v>chemioterapia, w tym:</v>
          </cell>
          <cell r="C12">
            <v>34767</v>
          </cell>
          <cell r="D12">
            <v>34767</v>
          </cell>
        </row>
        <row r="13">
          <cell r="A13" t="str">
            <v>B2.3.2.1</v>
          </cell>
          <cell r="B13" t="str">
            <v>leki stosowane w chemioterapii</v>
          </cell>
          <cell r="C13">
            <v>15917</v>
          </cell>
          <cell r="D13">
            <v>15917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66487</v>
          </cell>
          <cell r="D14">
            <v>66487</v>
          </cell>
        </row>
        <row r="15">
          <cell r="A15" t="str">
            <v>B2.5</v>
          </cell>
          <cell r="B15" t="str">
            <v>rehabilitacja lecznicza</v>
          </cell>
          <cell r="C15">
            <v>56783</v>
          </cell>
          <cell r="D15">
            <v>56783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55170</v>
          </cell>
          <cell r="D16">
            <v>55170</v>
          </cell>
        </row>
        <row r="17">
          <cell r="A17" t="str">
            <v>B2.7</v>
          </cell>
          <cell r="B17" t="str">
            <v>opieka paliatywna i hospicyjna</v>
          </cell>
          <cell r="C17">
            <v>18832</v>
          </cell>
          <cell r="D17">
            <v>18832</v>
          </cell>
        </row>
        <row r="18">
          <cell r="A18" t="str">
            <v>B2.8</v>
          </cell>
          <cell r="B18" t="str">
            <v>leczenie stomatologiczne</v>
          </cell>
          <cell r="C18">
            <v>45396</v>
          </cell>
          <cell r="D18">
            <v>45396</v>
          </cell>
        </row>
        <row r="19">
          <cell r="A19" t="str">
            <v>B2.9</v>
          </cell>
          <cell r="B19" t="str">
            <v>lecznictwo uzdrowiskowe</v>
          </cell>
          <cell r="C19">
            <v>12700</v>
          </cell>
          <cell r="D19">
            <v>12700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1349</v>
          </cell>
          <cell r="D20">
            <v>1349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5329</v>
          </cell>
          <cell r="D21">
            <v>5329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49239</v>
          </cell>
          <cell r="D22">
            <v>49239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28375</v>
          </cell>
          <cell r="D23">
            <v>28375</v>
          </cell>
        </row>
        <row r="24">
          <cell r="A24" t="str">
            <v>B2.14</v>
          </cell>
          <cell r="B24" t="str">
            <v>refundacja, z tego:</v>
          </cell>
          <cell r="C24">
            <v>201107</v>
          </cell>
          <cell r="D24">
            <v>201107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200290</v>
          </cell>
          <cell r="D25">
            <v>200290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600</v>
          </cell>
          <cell r="D26">
            <v>600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217</v>
          </cell>
          <cell r="D27">
            <v>217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11955</v>
          </cell>
          <cell r="D32">
            <v>11955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420</v>
          </cell>
          <cell r="D34">
            <v>420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20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54177</v>
          </cell>
          <cell r="D36">
            <v>54177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16042</v>
          </cell>
          <cell r="D37">
            <v>16042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281621</v>
          </cell>
          <cell r="D38">
            <v>281621</v>
          </cell>
        </row>
        <row r="39">
          <cell r="A39" t="str">
            <v>D.</v>
          </cell>
          <cell r="B39" t="str">
            <v>Koszty administracyjne ( D1+...+D8 )</v>
          </cell>
          <cell r="C39">
            <v>16136</v>
          </cell>
          <cell r="D39">
            <v>16136</v>
          </cell>
        </row>
        <row r="40">
          <cell r="A40" t="str">
            <v>D1</v>
          </cell>
          <cell r="B40" t="str">
            <v>zużycie materiałów i energii</v>
          </cell>
          <cell r="C40">
            <v>787</v>
          </cell>
          <cell r="D40">
            <v>787</v>
          </cell>
        </row>
        <row r="41">
          <cell r="A41" t="str">
            <v>D2</v>
          </cell>
          <cell r="B41" t="str">
            <v>usługi obce</v>
          </cell>
          <cell r="C41">
            <v>2205</v>
          </cell>
          <cell r="D41">
            <v>2205</v>
          </cell>
        </row>
        <row r="42">
          <cell r="A42" t="str">
            <v>D3</v>
          </cell>
          <cell r="B42" t="str">
            <v>podatki i opłaty, z tego</v>
          </cell>
          <cell r="C42">
            <v>174</v>
          </cell>
          <cell r="D42">
            <v>174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0</v>
          </cell>
          <cell r="D43">
            <v>0</v>
          </cell>
        </row>
        <row r="44">
          <cell r="A44" t="str">
            <v>D3.1.1</v>
          </cell>
          <cell r="B44" t="str">
            <v>podatek od nieruchomości</v>
          </cell>
          <cell r="C44">
            <v>0</v>
          </cell>
          <cell r="D44">
            <v>0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8</v>
          </cell>
          <cell r="D45">
            <v>8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160</v>
          </cell>
          <cell r="D48">
            <v>160</v>
          </cell>
        </row>
        <row r="49">
          <cell r="A49" t="str">
            <v>D3.6</v>
          </cell>
          <cell r="B49" t="str">
            <v>inne</v>
          </cell>
          <cell r="C49">
            <v>6</v>
          </cell>
          <cell r="D49">
            <v>6</v>
          </cell>
        </row>
        <row r="50">
          <cell r="A50" t="str">
            <v>D4</v>
          </cell>
          <cell r="B50" t="str">
            <v>wynagrodzenia, w tym:</v>
          </cell>
          <cell r="C50">
            <v>9284</v>
          </cell>
          <cell r="D50">
            <v>9284</v>
          </cell>
        </row>
        <row r="51">
          <cell r="A51" t="str">
            <v>D4.1</v>
          </cell>
          <cell r="B51" t="str">
            <v>wynagrodzenia bezosobowe</v>
          </cell>
          <cell r="C51">
            <v>26</v>
          </cell>
          <cell r="D51">
            <v>26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2085</v>
          </cell>
          <cell r="D52">
            <v>2085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1592</v>
          </cell>
          <cell r="D53">
            <v>1592</v>
          </cell>
        </row>
        <row r="54">
          <cell r="A54" t="str">
            <v>D5.2</v>
          </cell>
          <cell r="B54" t="str">
            <v>składki na Fundusz Pracy</v>
          </cell>
          <cell r="C54">
            <v>227</v>
          </cell>
          <cell r="D54">
            <v>227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266</v>
          </cell>
          <cell r="D56">
            <v>266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1435</v>
          </cell>
          <cell r="D58">
            <v>1435</v>
          </cell>
        </row>
        <row r="59">
          <cell r="A59" t="str">
            <v>D8</v>
          </cell>
          <cell r="B59" t="str">
            <v>pozostałe koszty administracyjne</v>
          </cell>
          <cell r="C59">
            <v>166</v>
          </cell>
          <cell r="D59">
            <v>166</v>
          </cell>
        </row>
        <row r="60">
          <cell r="A60" t="str">
            <v>F</v>
          </cell>
          <cell r="B60" t="str">
            <v>Pozostałe koszty (F1+...+F4)</v>
          </cell>
          <cell r="C60">
            <v>7720</v>
          </cell>
          <cell r="D60">
            <v>7720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5700</v>
          </cell>
          <cell r="D62">
            <v>5700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2020</v>
          </cell>
          <cell r="D64">
            <v>2020</v>
          </cell>
        </row>
        <row r="65">
          <cell r="A65" t="str">
            <v>H</v>
          </cell>
          <cell r="B65" t="str">
            <v>Koszty finansowe</v>
          </cell>
          <cell r="C65">
            <v>1238</v>
          </cell>
          <cell r="D65">
            <v>1238</v>
          </cell>
        </row>
      </sheetData>
      <sheetData sheetId="11">
        <row r="7">
          <cell r="A7" t="str">
            <v>B2.1</v>
          </cell>
          <cell r="B7" t="str">
            <v>podstawowa opieka zdrowotna</v>
          </cell>
          <cell r="C7">
            <v>538961</v>
          </cell>
          <cell r="D7">
            <v>538961</v>
          </cell>
        </row>
        <row r="8">
          <cell r="A8" t="str">
            <v>B2.2</v>
          </cell>
          <cell r="B8" t="str">
            <v>ambulatoryjna opieka specjalistyczna</v>
          </cell>
          <cell r="C8">
            <v>293575</v>
          </cell>
          <cell r="D8">
            <v>293575</v>
          </cell>
        </row>
        <row r="9">
          <cell r="A9" t="str">
            <v>B2.3</v>
          </cell>
          <cell r="B9" t="str">
            <v>leczenie szpitalne, w tym:</v>
          </cell>
          <cell r="C9">
            <v>2004594</v>
          </cell>
          <cell r="D9">
            <v>2004594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192335</v>
          </cell>
          <cell r="D10">
            <v>192335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175767</v>
          </cell>
          <cell r="D11">
            <v>175767</v>
          </cell>
        </row>
        <row r="12">
          <cell r="A12" t="str">
            <v>B2.3.2</v>
          </cell>
          <cell r="B12" t="str">
            <v>chemioterapia, w tym:</v>
          </cell>
          <cell r="C12">
            <v>76689</v>
          </cell>
          <cell r="D12">
            <v>76689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37646</v>
          </cell>
          <cell r="D13">
            <v>37646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128032</v>
          </cell>
          <cell r="D14">
            <v>128032</v>
          </cell>
        </row>
        <row r="15">
          <cell r="A15" t="str">
            <v>B2.5</v>
          </cell>
          <cell r="B15" t="str">
            <v>rehabilitacja lecznicza</v>
          </cell>
          <cell r="C15">
            <v>149209</v>
          </cell>
          <cell r="D15">
            <v>149209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114313</v>
          </cell>
          <cell r="D16">
            <v>114313</v>
          </cell>
        </row>
        <row r="17">
          <cell r="A17" t="str">
            <v>B2.7</v>
          </cell>
          <cell r="B17" t="str">
            <v>opieka paliatywna i hospicyjna</v>
          </cell>
          <cell r="C17">
            <v>44884</v>
          </cell>
          <cell r="D17">
            <v>44884</v>
          </cell>
        </row>
        <row r="18">
          <cell r="A18" t="str">
            <v>B2.8</v>
          </cell>
          <cell r="B18" t="str">
            <v>leczenie stomatologiczne</v>
          </cell>
          <cell r="C18">
            <v>113344</v>
          </cell>
          <cell r="D18">
            <v>113344</v>
          </cell>
        </row>
        <row r="19">
          <cell r="A19" t="str">
            <v>B2.9</v>
          </cell>
          <cell r="B19" t="str">
            <v>lecznictwo uzdrowiskowe</v>
          </cell>
          <cell r="C19">
            <v>34670</v>
          </cell>
          <cell r="D19">
            <v>34670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3286</v>
          </cell>
          <cell r="D20">
            <v>3286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8056</v>
          </cell>
          <cell r="D21">
            <v>8056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103857</v>
          </cell>
          <cell r="D22">
            <v>103857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56447</v>
          </cell>
          <cell r="D23">
            <v>56447</v>
          </cell>
        </row>
        <row r="24">
          <cell r="A24" t="str">
            <v>B2.14</v>
          </cell>
          <cell r="B24" t="str">
            <v>refundacja, z tego:</v>
          </cell>
          <cell r="C24">
            <v>392552</v>
          </cell>
          <cell r="D24">
            <v>392552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389052</v>
          </cell>
          <cell r="D25">
            <v>389052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2500</v>
          </cell>
          <cell r="D26">
            <v>2500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1000</v>
          </cell>
          <cell r="D27">
            <v>1000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28013</v>
          </cell>
          <cell r="D32">
            <v>28013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6569</v>
          </cell>
          <cell r="D34">
            <v>6569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111484</v>
          </cell>
          <cell r="D36">
            <v>111484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26759</v>
          </cell>
          <cell r="D37">
            <v>26759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605965</v>
          </cell>
          <cell r="D38">
            <v>605965</v>
          </cell>
        </row>
        <row r="39">
          <cell r="A39" t="str">
            <v>D.</v>
          </cell>
          <cell r="B39" t="str">
            <v>Koszty administracyjne ( D1+...+D8 )</v>
          </cell>
          <cell r="C39">
            <v>25858</v>
          </cell>
          <cell r="D39">
            <v>25858</v>
          </cell>
        </row>
        <row r="40">
          <cell r="A40" t="str">
            <v>D1</v>
          </cell>
          <cell r="B40" t="str">
            <v>zużycie materiałów i energii</v>
          </cell>
          <cell r="C40">
            <v>1350</v>
          </cell>
          <cell r="D40">
            <v>1350</v>
          </cell>
        </row>
        <row r="41">
          <cell r="A41" t="str">
            <v>D2</v>
          </cell>
          <cell r="B41" t="str">
            <v>usługi obce</v>
          </cell>
          <cell r="C41">
            <v>2816</v>
          </cell>
          <cell r="D41">
            <v>2816</v>
          </cell>
        </row>
        <row r="42">
          <cell r="A42" t="str">
            <v>D3</v>
          </cell>
          <cell r="B42" t="str">
            <v>podatki i opłaty, z tego</v>
          </cell>
          <cell r="C42">
            <v>119</v>
          </cell>
          <cell r="D42">
            <v>119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27</v>
          </cell>
          <cell r="D43">
            <v>27</v>
          </cell>
        </row>
        <row r="44">
          <cell r="A44" t="str">
            <v>D3.1.1</v>
          </cell>
          <cell r="B44" t="str">
            <v>podatek od nieruchomości</v>
          </cell>
          <cell r="C44">
            <v>27</v>
          </cell>
          <cell r="D44">
            <v>27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13</v>
          </cell>
          <cell r="D45">
            <v>13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43</v>
          </cell>
          <cell r="D48">
            <v>43</v>
          </cell>
        </row>
        <row r="49">
          <cell r="A49" t="str">
            <v>D3.6</v>
          </cell>
          <cell r="B49" t="str">
            <v>inne</v>
          </cell>
          <cell r="C49">
            <v>36</v>
          </cell>
          <cell r="D49">
            <v>36</v>
          </cell>
        </row>
        <row r="50">
          <cell r="A50" t="str">
            <v>D4</v>
          </cell>
          <cell r="B50" t="str">
            <v>wynagrodzenia, w tym:</v>
          </cell>
          <cell r="C50">
            <v>14538</v>
          </cell>
          <cell r="D50">
            <v>14538</v>
          </cell>
        </row>
        <row r="51">
          <cell r="A51" t="str">
            <v>D4.1</v>
          </cell>
          <cell r="B51" t="str">
            <v>wynagrodzenia bezosobowe</v>
          </cell>
          <cell r="C51">
            <v>0</v>
          </cell>
          <cell r="D51">
            <v>0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3268</v>
          </cell>
          <cell r="D52">
            <v>3268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2493</v>
          </cell>
          <cell r="D53">
            <v>2493</v>
          </cell>
        </row>
        <row r="54">
          <cell r="A54" t="str">
            <v>D5.2</v>
          </cell>
          <cell r="B54" t="str">
            <v>składki na Fundusz Pracy</v>
          </cell>
          <cell r="C54">
            <v>356</v>
          </cell>
          <cell r="D54">
            <v>356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419</v>
          </cell>
          <cell r="D56">
            <v>419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3500</v>
          </cell>
          <cell r="D58">
            <v>3500</v>
          </cell>
        </row>
        <row r="59">
          <cell r="A59" t="str">
            <v>D8</v>
          </cell>
          <cell r="B59" t="str">
            <v>pozostałe koszty administracyjne</v>
          </cell>
          <cell r="C59">
            <v>267</v>
          </cell>
          <cell r="D59">
            <v>267</v>
          </cell>
        </row>
        <row r="60">
          <cell r="A60" t="str">
            <v>F</v>
          </cell>
          <cell r="B60" t="str">
            <v>Pozostałe koszty (F1+...+F4)</v>
          </cell>
          <cell r="C60">
            <v>4000</v>
          </cell>
          <cell r="D60">
            <v>4000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3000</v>
          </cell>
          <cell r="D62">
            <v>3000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1000</v>
          </cell>
          <cell r="D64">
            <v>1000</v>
          </cell>
        </row>
        <row r="65">
          <cell r="A65" t="str">
            <v>H</v>
          </cell>
          <cell r="B65" t="str">
            <v>Koszty finansowe</v>
          </cell>
          <cell r="C65">
            <v>810</v>
          </cell>
          <cell r="D65">
            <v>810</v>
          </cell>
        </row>
      </sheetData>
      <sheetData sheetId="12">
        <row r="7">
          <cell r="A7" t="str">
            <v>B2.1</v>
          </cell>
          <cell r="B7" t="str">
            <v>podstawowa opieka zdrowotna</v>
          </cell>
          <cell r="C7">
            <v>305100</v>
          </cell>
          <cell r="D7">
            <v>305100</v>
          </cell>
        </row>
        <row r="8">
          <cell r="A8" t="str">
            <v>B2.2</v>
          </cell>
          <cell r="B8" t="str">
            <v>ambulatoryjna opieka specjalistyczna</v>
          </cell>
          <cell r="C8">
            <v>191325</v>
          </cell>
          <cell r="D8">
            <v>191325</v>
          </cell>
        </row>
        <row r="9">
          <cell r="A9" t="str">
            <v>B2.3</v>
          </cell>
          <cell r="B9" t="str">
            <v>leczenie szpitalne, w tym:</v>
          </cell>
          <cell r="C9">
            <v>1170078</v>
          </cell>
          <cell r="D9">
            <v>1170078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93128</v>
          </cell>
          <cell r="D10">
            <v>93128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83965</v>
          </cell>
          <cell r="D11">
            <v>83965</v>
          </cell>
        </row>
        <row r="12">
          <cell r="A12" t="str">
            <v>B2.3.2</v>
          </cell>
          <cell r="B12" t="str">
            <v>chemioterapia, w tym:</v>
          </cell>
          <cell r="C12">
            <v>47056</v>
          </cell>
          <cell r="D12">
            <v>47056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24019</v>
          </cell>
          <cell r="D13">
            <v>24019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89200</v>
          </cell>
          <cell r="D14">
            <v>89200</v>
          </cell>
        </row>
        <row r="15">
          <cell r="A15" t="str">
            <v>B2.5</v>
          </cell>
          <cell r="B15" t="str">
            <v>rehabilitacja lecznicza</v>
          </cell>
          <cell r="C15">
            <v>62500</v>
          </cell>
          <cell r="D15">
            <v>62500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36500</v>
          </cell>
          <cell r="D16">
            <v>36500</v>
          </cell>
        </row>
        <row r="17">
          <cell r="A17" t="str">
            <v>B2.7</v>
          </cell>
          <cell r="B17" t="str">
            <v>opieka paliatywna i hospicyjna</v>
          </cell>
          <cell r="C17">
            <v>19400</v>
          </cell>
          <cell r="D17">
            <v>19400</v>
          </cell>
        </row>
        <row r="18">
          <cell r="A18" t="str">
            <v>B2.8</v>
          </cell>
          <cell r="B18" t="str">
            <v>leczenie stomatologiczne</v>
          </cell>
          <cell r="C18">
            <v>63800</v>
          </cell>
          <cell r="D18">
            <v>63800</v>
          </cell>
        </row>
        <row r="19">
          <cell r="A19" t="str">
            <v>B2.9</v>
          </cell>
          <cell r="B19" t="str">
            <v>lecznictwo uzdrowiskowe</v>
          </cell>
          <cell r="C19">
            <v>20500</v>
          </cell>
          <cell r="D19">
            <v>20500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1555</v>
          </cell>
          <cell r="D20">
            <v>1555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4850</v>
          </cell>
          <cell r="D21">
            <v>4850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64800</v>
          </cell>
          <cell r="D22">
            <v>64800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29600</v>
          </cell>
          <cell r="D23">
            <v>29600</v>
          </cell>
        </row>
        <row r="24">
          <cell r="A24" t="str">
            <v>B2.14</v>
          </cell>
          <cell r="B24" t="str">
            <v>refundacja, z tego:</v>
          </cell>
          <cell r="C24">
            <v>226367</v>
          </cell>
          <cell r="D24">
            <v>226367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224257</v>
          </cell>
          <cell r="D25">
            <v>224257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1550</v>
          </cell>
          <cell r="D26">
            <v>1550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560</v>
          </cell>
          <cell r="D27">
            <v>560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300</v>
          </cell>
          <cell r="D32">
            <v>300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71925</v>
          </cell>
          <cell r="D36">
            <v>71925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16771</v>
          </cell>
          <cell r="D37">
            <v>16771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334351</v>
          </cell>
          <cell r="D38">
            <v>334351</v>
          </cell>
        </row>
        <row r="39">
          <cell r="A39" t="str">
            <v>D.</v>
          </cell>
          <cell r="B39" t="str">
            <v>Koszty administracyjne ( D1+...+D8 )</v>
          </cell>
          <cell r="C39">
            <v>17784</v>
          </cell>
          <cell r="D39">
            <v>17784</v>
          </cell>
        </row>
        <row r="40">
          <cell r="A40" t="str">
            <v>D1</v>
          </cell>
          <cell r="B40" t="str">
            <v>zużycie materiałów i energii</v>
          </cell>
          <cell r="C40">
            <v>599</v>
          </cell>
          <cell r="D40">
            <v>599</v>
          </cell>
        </row>
        <row r="41">
          <cell r="A41" t="str">
            <v>D2</v>
          </cell>
          <cell r="B41" t="str">
            <v>usługi obce</v>
          </cell>
          <cell r="C41">
            <v>1100</v>
          </cell>
          <cell r="D41">
            <v>1100</v>
          </cell>
        </row>
        <row r="42">
          <cell r="A42" t="str">
            <v>D3</v>
          </cell>
          <cell r="B42" t="str">
            <v>podatki i opłaty, z tego</v>
          </cell>
          <cell r="C42">
            <v>246</v>
          </cell>
          <cell r="D42">
            <v>246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19</v>
          </cell>
          <cell r="D43">
            <v>19</v>
          </cell>
        </row>
        <row r="44">
          <cell r="A44" t="str">
            <v>D3.1.1</v>
          </cell>
          <cell r="B44" t="str">
            <v>podatek od nieruchomości</v>
          </cell>
          <cell r="C44">
            <v>19</v>
          </cell>
          <cell r="D44">
            <v>19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54</v>
          </cell>
          <cell r="D45">
            <v>54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167</v>
          </cell>
          <cell r="D48">
            <v>167</v>
          </cell>
        </row>
        <row r="49">
          <cell r="A49" t="str">
            <v>D3.6</v>
          </cell>
          <cell r="B49" t="str">
            <v>inne</v>
          </cell>
          <cell r="C49">
            <v>6</v>
          </cell>
          <cell r="D49">
            <v>6</v>
          </cell>
        </row>
        <row r="50">
          <cell r="A50" t="str">
            <v>D4</v>
          </cell>
          <cell r="B50" t="str">
            <v>wynagrodzenia, w tym:</v>
          </cell>
          <cell r="C50">
            <v>10289</v>
          </cell>
          <cell r="D50">
            <v>10289</v>
          </cell>
        </row>
        <row r="51">
          <cell r="A51" t="str">
            <v>D4.1</v>
          </cell>
          <cell r="B51" t="str">
            <v>wynagrodzenia bezosobowe</v>
          </cell>
          <cell r="C51">
            <v>0</v>
          </cell>
          <cell r="D51">
            <v>0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2317</v>
          </cell>
          <cell r="D52">
            <v>2317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1760</v>
          </cell>
          <cell r="D53">
            <v>1760</v>
          </cell>
        </row>
        <row r="54">
          <cell r="A54" t="str">
            <v>D5.2</v>
          </cell>
          <cell r="B54" t="str">
            <v>składki na Fundusz Pracy</v>
          </cell>
          <cell r="C54">
            <v>231</v>
          </cell>
          <cell r="D54">
            <v>231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326</v>
          </cell>
          <cell r="D56">
            <v>326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3088</v>
          </cell>
          <cell r="D58">
            <v>3088</v>
          </cell>
        </row>
        <row r="59">
          <cell r="A59" t="str">
            <v>D8</v>
          </cell>
          <cell r="B59" t="str">
            <v>pozostałe koszty administracyjne</v>
          </cell>
          <cell r="C59">
            <v>145</v>
          </cell>
          <cell r="D59">
            <v>145</v>
          </cell>
        </row>
        <row r="60">
          <cell r="A60" t="str">
            <v>F</v>
          </cell>
          <cell r="B60" t="str">
            <v>Pozostałe koszty (F1+...+F4)</v>
          </cell>
          <cell r="C60">
            <v>2289</v>
          </cell>
          <cell r="D60">
            <v>2289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1110</v>
          </cell>
          <cell r="D62">
            <v>1110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1179</v>
          </cell>
          <cell r="D64">
            <v>1179</v>
          </cell>
        </row>
        <row r="65">
          <cell r="A65" t="str">
            <v>H</v>
          </cell>
          <cell r="B65" t="str">
            <v>Koszty finansowe</v>
          </cell>
          <cell r="C65">
            <v>372</v>
          </cell>
          <cell r="D65">
            <v>372</v>
          </cell>
        </row>
      </sheetData>
      <sheetData sheetId="13">
        <row r="7">
          <cell r="A7" t="str">
            <v>B2.1</v>
          </cell>
          <cell r="B7" t="str">
            <v>podstawowa opieka zdrowotna</v>
          </cell>
          <cell r="C7">
            <v>617768</v>
          </cell>
          <cell r="D7">
            <v>617768</v>
          </cell>
        </row>
        <row r="8">
          <cell r="A8" t="str">
            <v>B2.2</v>
          </cell>
          <cell r="B8" t="str">
            <v>ambulatoryjna opieka specjalistyczna</v>
          </cell>
          <cell r="C8">
            <v>339544</v>
          </cell>
          <cell r="D8">
            <v>339544</v>
          </cell>
        </row>
        <row r="9">
          <cell r="A9" t="str">
            <v>B2.3</v>
          </cell>
          <cell r="B9" t="str">
            <v>leczenie szpitalne, w tym:</v>
          </cell>
          <cell r="C9">
            <v>2196114</v>
          </cell>
          <cell r="D9">
            <v>2196114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218332</v>
          </cell>
          <cell r="D10">
            <v>218332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201971</v>
          </cell>
          <cell r="D11">
            <v>201971</v>
          </cell>
        </row>
        <row r="12">
          <cell r="A12" t="str">
            <v>B2.3.2</v>
          </cell>
          <cell r="B12" t="str">
            <v>chemioterapia, w tym:</v>
          </cell>
          <cell r="C12">
            <v>84376</v>
          </cell>
          <cell r="D12">
            <v>84376</v>
          </cell>
        </row>
        <row r="13">
          <cell r="A13" t="str">
            <v>B2.3.2.1</v>
          </cell>
          <cell r="B13" t="str">
            <v>leki stosowane w chemioterapii</v>
          </cell>
          <cell r="C13">
            <v>47986</v>
          </cell>
          <cell r="D13">
            <v>47986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165587</v>
          </cell>
          <cell r="D14">
            <v>165587</v>
          </cell>
        </row>
        <row r="15">
          <cell r="A15" t="str">
            <v>B2.5</v>
          </cell>
          <cell r="B15" t="str">
            <v>rehabilitacja lecznicza</v>
          </cell>
          <cell r="C15">
            <v>121520</v>
          </cell>
          <cell r="D15">
            <v>121520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52831</v>
          </cell>
          <cell r="D16">
            <v>52831</v>
          </cell>
        </row>
        <row r="17">
          <cell r="A17" t="str">
            <v>B2.7</v>
          </cell>
          <cell r="B17" t="str">
            <v>opieka paliatywna i hospicyjna</v>
          </cell>
          <cell r="C17">
            <v>41510</v>
          </cell>
          <cell r="D17">
            <v>41510</v>
          </cell>
        </row>
        <row r="18">
          <cell r="A18" t="str">
            <v>B2.8</v>
          </cell>
          <cell r="B18" t="str">
            <v>leczenie stomatologiczne</v>
          </cell>
          <cell r="C18">
            <v>109535</v>
          </cell>
          <cell r="D18">
            <v>109535</v>
          </cell>
        </row>
        <row r="19">
          <cell r="A19" t="str">
            <v>B2.9</v>
          </cell>
          <cell r="B19" t="str">
            <v>lecznictwo uzdrowiskowe</v>
          </cell>
          <cell r="C19">
            <v>27649</v>
          </cell>
          <cell r="D19">
            <v>27649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1504</v>
          </cell>
          <cell r="D20">
            <v>1504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10359</v>
          </cell>
          <cell r="D21">
            <v>10359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132152</v>
          </cell>
          <cell r="D22">
            <v>132152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58200</v>
          </cell>
          <cell r="D23">
            <v>58200</v>
          </cell>
        </row>
        <row r="24">
          <cell r="A24" t="str">
            <v>B2.14</v>
          </cell>
          <cell r="B24" t="str">
            <v>refundacja, z tego:</v>
          </cell>
          <cell r="C24">
            <v>525512</v>
          </cell>
          <cell r="D24">
            <v>525512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523815</v>
          </cell>
          <cell r="D25">
            <v>523815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931</v>
          </cell>
          <cell r="D26">
            <v>931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766</v>
          </cell>
          <cell r="D27">
            <v>766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1099</v>
          </cell>
          <cell r="D32">
            <v>1099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108713</v>
          </cell>
          <cell r="D36">
            <v>108713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34894</v>
          </cell>
          <cell r="D37">
            <v>34894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775469</v>
          </cell>
          <cell r="D38">
            <v>775469</v>
          </cell>
        </row>
        <row r="39">
          <cell r="A39" t="str">
            <v>D.</v>
          </cell>
          <cell r="B39" t="str">
            <v>Koszty administracyjne ( D1+...+D8 )</v>
          </cell>
          <cell r="C39">
            <v>33148</v>
          </cell>
          <cell r="D39">
            <v>33148</v>
          </cell>
        </row>
        <row r="40">
          <cell r="A40" t="str">
            <v>D1</v>
          </cell>
          <cell r="B40" t="str">
            <v>zużycie materiałów i energii</v>
          </cell>
          <cell r="C40">
            <v>1549</v>
          </cell>
          <cell r="D40">
            <v>1549</v>
          </cell>
        </row>
        <row r="41">
          <cell r="A41" t="str">
            <v>D2</v>
          </cell>
          <cell r="B41" t="str">
            <v>usługi obce</v>
          </cell>
          <cell r="C41">
            <v>3339</v>
          </cell>
          <cell r="D41">
            <v>3339</v>
          </cell>
        </row>
        <row r="42">
          <cell r="A42" t="str">
            <v>D3</v>
          </cell>
          <cell r="B42" t="str">
            <v>podatki i opłaty, z tego</v>
          </cell>
          <cell r="C42">
            <v>135</v>
          </cell>
          <cell r="D42">
            <v>135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44</v>
          </cell>
          <cell r="D43">
            <v>44</v>
          </cell>
        </row>
        <row r="44">
          <cell r="A44" t="str">
            <v>D3.1.1</v>
          </cell>
          <cell r="B44" t="str">
            <v>podatek od nieruchomości</v>
          </cell>
          <cell r="C44">
            <v>44</v>
          </cell>
          <cell r="D44">
            <v>44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36</v>
          </cell>
          <cell r="D45">
            <v>36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33</v>
          </cell>
          <cell r="D48">
            <v>33</v>
          </cell>
        </row>
        <row r="49">
          <cell r="A49" t="str">
            <v>D3.6</v>
          </cell>
          <cell r="B49" t="str">
            <v>inne</v>
          </cell>
          <cell r="C49">
            <v>22</v>
          </cell>
          <cell r="D49">
            <v>22</v>
          </cell>
        </row>
        <row r="50">
          <cell r="A50" t="str">
            <v>D4</v>
          </cell>
          <cell r="B50" t="str">
            <v>wynagrodzenia, w tym:</v>
          </cell>
          <cell r="C50">
            <v>19789</v>
          </cell>
          <cell r="D50">
            <v>19789</v>
          </cell>
        </row>
        <row r="51">
          <cell r="A51" t="str">
            <v>D4.1</v>
          </cell>
          <cell r="B51" t="str">
            <v>wynagrodzenia bezosobowe</v>
          </cell>
          <cell r="C51">
            <v>84</v>
          </cell>
          <cell r="D51">
            <v>84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4501</v>
          </cell>
          <cell r="D52">
            <v>4501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3396</v>
          </cell>
          <cell r="D53">
            <v>3396</v>
          </cell>
        </row>
        <row r="54">
          <cell r="A54" t="str">
            <v>D5.2</v>
          </cell>
          <cell r="B54" t="str">
            <v>składki na Fundusz Pracy</v>
          </cell>
          <cell r="C54">
            <v>486</v>
          </cell>
          <cell r="D54">
            <v>486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619</v>
          </cell>
          <cell r="D56">
            <v>619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3600</v>
          </cell>
          <cell r="D58">
            <v>3600</v>
          </cell>
        </row>
        <row r="59">
          <cell r="A59" t="str">
            <v>D8</v>
          </cell>
          <cell r="B59" t="str">
            <v>pozostałe koszty administracyjne</v>
          </cell>
          <cell r="C59">
            <v>235</v>
          </cell>
          <cell r="D59">
            <v>235</v>
          </cell>
        </row>
        <row r="60">
          <cell r="A60" t="str">
            <v>F</v>
          </cell>
          <cell r="B60" t="str">
            <v>Pozostałe koszty (F1+...+F4)</v>
          </cell>
          <cell r="C60">
            <v>8332</v>
          </cell>
          <cell r="D60">
            <v>8332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59</v>
          </cell>
          <cell r="D61">
            <v>59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6273</v>
          </cell>
          <cell r="D62">
            <v>6273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2000</v>
          </cell>
          <cell r="D64">
            <v>2000</v>
          </cell>
        </row>
        <row r="65">
          <cell r="A65" t="str">
            <v>H</v>
          </cell>
          <cell r="B65" t="str">
            <v>Koszty finansowe</v>
          </cell>
          <cell r="C65">
            <v>3970</v>
          </cell>
          <cell r="D65">
            <v>3970</v>
          </cell>
        </row>
      </sheetData>
      <sheetData sheetId="14">
        <row r="7">
          <cell r="A7" t="str">
            <v>B2.1</v>
          </cell>
          <cell r="B7" t="str">
            <v>podstawowa opieka zdrowotna</v>
          </cell>
          <cell r="C7">
            <v>1214388</v>
          </cell>
          <cell r="D7">
            <v>1214388</v>
          </cell>
        </row>
        <row r="8">
          <cell r="A8" t="str">
            <v>B2.2</v>
          </cell>
          <cell r="B8" t="str">
            <v>ambulatoryjna opieka specjalistyczna</v>
          </cell>
          <cell r="C8">
            <v>753998</v>
          </cell>
          <cell r="D8">
            <v>753998</v>
          </cell>
        </row>
        <row r="9">
          <cell r="A9" t="str">
            <v>B2.3</v>
          </cell>
          <cell r="B9" t="str">
            <v>leczenie szpitalne, w tym:</v>
          </cell>
          <cell r="C9">
            <v>4563615</v>
          </cell>
          <cell r="D9">
            <v>4563615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449136</v>
          </cell>
          <cell r="D10">
            <v>449136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405637</v>
          </cell>
          <cell r="D11">
            <v>405637</v>
          </cell>
        </row>
        <row r="12">
          <cell r="A12" t="str">
            <v>B2.3.2</v>
          </cell>
          <cell r="B12" t="str">
            <v>chemioterapia, w tym:</v>
          </cell>
          <cell r="C12">
            <v>169299</v>
          </cell>
          <cell r="D12">
            <v>169299</v>
          </cell>
        </row>
        <row r="13">
          <cell r="A13" t="str">
            <v>B2.3.2.1</v>
          </cell>
          <cell r="B13" t="str">
            <v>leki stosowane w chemioterapii</v>
          </cell>
          <cell r="C13">
            <v>74143</v>
          </cell>
          <cell r="D13">
            <v>74143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334521</v>
          </cell>
          <cell r="D14">
            <v>334521</v>
          </cell>
        </row>
        <row r="15">
          <cell r="A15" t="str">
            <v>B2.5</v>
          </cell>
          <cell r="B15" t="str">
            <v>rehabilitacja lecznicza</v>
          </cell>
          <cell r="C15">
            <v>275782</v>
          </cell>
          <cell r="D15">
            <v>275782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248587</v>
          </cell>
          <cell r="D16">
            <v>248587</v>
          </cell>
        </row>
        <row r="17">
          <cell r="A17" t="str">
            <v>B2.7</v>
          </cell>
          <cell r="B17" t="str">
            <v>opieka paliatywna i hospicyjna</v>
          </cell>
          <cell r="C17">
            <v>81905</v>
          </cell>
          <cell r="D17">
            <v>81905</v>
          </cell>
        </row>
        <row r="18">
          <cell r="A18" t="str">
            <v>B2.8</v>
          </cell>
          <cell r="B18" t="str">
            <v>leczenie stomatologiczne</v>
          </cell>
          <cell r="C18">
            <v>196654</v>
          </cell>
          <cell r="D18">
            <v>196654</v>
          </cell>
        </row>
        <row r="19">
          <cell r="A19" t="str">
            <v>B2.9</v>
          </cell>
          <cell r="B19" t="str">
            <v>lecznictwo uzdrowiskowe</v>
          </cell>
          <cell r="C19">
            <v>73300</v>
          </cell>
          <cell r="D19">
            <v>73300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4794</v>
          </cell>
          <cell r="D20">
            <v>4794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32975</v>
          </cell>
          <cell r="D21">
            <v>32975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243543</v>
          </cell>
          <cell r="D22">
            <v>243543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149437</v>
          </cell>
          <cell r="D23">
            <v>149437</v>
          </cell>
        </row>
        <row r="24">
          <cell r="A24" t="str">
            <v>B2.14</v>
          </cell>
          <cell r="B24" t="str">
            <v>refundacja, z tego:</v>
          </cell>
          <cell r="C24">
            <v>1047671</v>
          </cell>
          <cell r="D24">
            <v>1047671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1045774</v>
          </cell>
          <cell r="D25">
            <v>1045774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1029</v>
          </cell>
          <cell r="D26">
            <v>1029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868</v>
          </cell>
          <cell r="D27">
            <v>868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21790</v>
          </cell>
          <cell r="D32">
            <v>21790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7709</v>
          </cell>
          <cell r="D34">
            <v>7709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228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206284</v>
          </cell>
          <cell r="D36">
            <v>206284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70785</v>
          </cell>
          <cell r="D37">
            <v>70785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1527451</v>
          </cell>
          <cell r="D38">
            <v>1527451</v>
          </cell>
        </row>
        <row r="39">
          <cell r="A39" t="str">
            <v>D.</v>
          </cell>
          <cell r="B39" t="str">
            <v>Koszty administracyjne ( D1+...+D8 )</v>
          </cell>
          <cell r="C39">
            <v>66153</v>
          </cell>
          <cell r="D39">
            <v>66153</v>
          </cell>
        </row>
        <row r="40">
          <cell r="A40" t="str">
            <v>D1</v>
          </cell>
          <cell r="B40" t="str">
            <v>zużycie materiałów i energii</v>
          </cell>
          <cell r="C40">
            <v>2584</v>
          </cell>
          <cell r="D40">
            <v>2584</v>
          </cell>
        </row>
        <row r="41">
          <cell r="A41" t="str">
            <v>D2</v>
          </cell>
          <cell r="B41" t="str">
            <v>usługi obce</v>
          </cell>
          <cell r="C41">
            <v>8307</v>
          </cell>
          <cell r="D41">
            <v>8307</v>
          </cell>
        </row>
        <row r="42">
          <cell r="A42" t="str">
            <v>D3</v>
          </cell>
          <cell r="B42" t="str">
            <v>podatki i opłaty, z tego</v>
          </cell>
          <cell r="C42">
            <v>607</v>
          </cell>
          <cell r="D42">
            <v>607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122</v>
          </cell>
          <cell r="D43">
            <v>122</v>
          </cell>
        </row>
        <row r="44">
          <cell r="A44" t="str">
            <v>D3.1.1</v>
          </cell>
          <cell r="B44" t="str">
            <v>podatek od nieruchomości</v>
          </cell>
          <cell r="C44">
            <v>122</v>
          </cell>
          <cell r="D44">
            <v>122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10</v>
          </cell>
          <cell r="D45">
            <v>10</v>
          </cell>
        </row>
        <row r="46">
          <cell r="A46" t="str">
            <v>D3.3</v>
          </cell>
          <cell r="B46" t="str">
            <v>VAT</v>
          </cell>
          <cell r="C46">
            <v>4</v>
          </cell>
          <cell r="D46">
            <v>4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450</v>
          </cell>
          <cell r="D48">
            <v>450</v>
          </cell>
        </row>
        <row r="49">
          <cell r="A49" t="str">
            <v>D3.6</v>
          </cell>
          <cell r="B49" t="str">
            <v>inne</v>
          </cell>
          <cell r="C49">
            <v>21</v>
          </cell>
          <cell r="D49">
            <v>21</v>
          </cell>
        </row>
        <row r="50">
          <cell r="A50" t="str">
            <v>D4</v>
          </cell>
          <cell r="B50" t="str">
            <v>wynagrodzenia, w tym:</v>
          </cell>
          <cell r="C50">
            <v>39940</v>
          </cell>
          <cell r="D50">
            <v>39940</v>
          </cell>
        </row>
        <row r="51">
          <cell r="A51" t="str">
            <v>D4.1</v>
          </cell>
          <cell r="B51" t="str">
            <v>wynagrodzenia bezosobowe</v>
          </cell>
          <cell r="C51">
            <v>120</v>
          </cell>
          <cell r="D51">
            <v>120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8969</v>
          </cell>
          <cell r="D52">
            <v>8969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6858</v>
          </cell>
          <cell r="D53">
            <v>6858</v>
          </cell>
        </row>
        <row r="54">
          <cell r="A54" t="str">
            <v>D5.2</v>
          </cell>
          <cell r="B54" t="str">
            <v>składki na Fundusz Pracy</v>
          </cell>
          <cell r="C54">
            <v>979</v>
          </cell>
          <cell r="D54">
            <v>979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1132</v>
          </cell>
          <cell r="D56">
            <v>1132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5444</v>
          </cell>
          <cell r="D58">
            <v>5444</v>
          </cell>
        </row>
        <row r="59">
          <cell r="A59" t="str">
            <v>D8</v>
          </cell>
          <cell r="B59" t="str">
            <v>pozostałe koszty administracyjne</v>
          </cell>
          <cell r="C59">
            <v>302</v>
          </cell>
          <cell r="D59">
            <v>302</v>
          </cell>
        </row>
        <row r="60">
          <cell r="A60" t="str">
            <v>F</v>
          </cell>
          <cell r="B60" t="str">
            <v>Pozostałe koszty (F1+...+F4)</v>
          </cell>
          <cell r="C60">
            <v>2968</v>
          </cell>
          <cell r="D60">
            <v>2968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280</v>
          </cell>
          <cell r="D61">
            <v>280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1828</v>
          </cell>
          <cell r="D62">
            <v>1828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860</v>
          </cell>
          <cell r="D64">
            <v>860</v>
          </cell>
        </row>
        <row r="65">
          <cell r="A65" t="str">
            <v>H</v>
          </cell>
          <cell r="B65" t="str">
            <v>Koszty finansowe</v>
          </cell>
          <cell r="C65">
            <v>1355</v>
          </cell>
          <cell r="D65">
            <v>1355</v>
          </cell>
        </row>
      </sheetData>
      <sheetData sheetId="15">
        <row r="7">
          <cell r="A7" t="str">
            <v>B2.1</v>
          </cell>
          <cell r="B7" t="str">
            <v>podstawowa opieka zdrowotna</v>
          </cell>
          <cell r="C7">
            <v>315973</v>
          </cell>
          <cell r="D7">
            <v>315973</v>
          </cell>
        </row>
        <row r="8">
          <cell r="A8" t="str">
            <v>B2.2</v>
          </cell>
          <cell r="B8" t="str">
            <v>ambulatoryjna opieka specjalistyczna</v>
          </cell>
          <cell r="C8">
            <v>168659</v>
          </cell>
          <cell r="D8">
            <v>168659</v>
          </cell>
        </row>
        <row r="9">
          <cell r="A9" t="str">
            <v>B2.3</v>
          </cell>
          <cell r="B9" t="str">
            <v>leczenie szpitalne, w tym:</v>
          </cell>
          <cell r="C9">
            <v>1300128</v>
          </cell>
          <cell r="D9">
            <v>1300128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114023</v>
          </cell>
          <cell r="D10">
            <v>114023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99736</v>
          </cell>
          <cell r="D11">
            <v>99736</v>
          </cell>
        </row>
        <row r="12">
          <cell r="A12" t="str">
            <v>B2.3.2</v>
          </cell>
          <cell r="B12" t="str">
            <v>chemioterapia, w tym:</v>
          </cell>
          <cell r="C12">
            <v>55998</v>
          </cell>
          <cell r="D12">
            <v>55998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27471</v>
          </cell>
          <cell r="D13">
            <v>27471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84246</v>
          </cell>
          <cell r="D14">
            <v>84246</v>
          </cell>
        </row>
        <row r="15">
          <cell r="A15" t="str">
            <v>B2.5</v>
          </cell>
          <cell r="B15" t="str">
            <v>rehabilitacja lecznicza</v>
          </cell>
          <cell r="C15">
            <v>78656</v>
          </cell>
          <cell r="D15">
            <v>78656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55311</v>
          </cell>
          <cell r="D16">
            <v>55311</v>
          </cell>
        </row>
        <row r="17">
          <cell r="A17" t="str">
            <v>B2.7</v>
          </cell>
          <cell r="B17" t="str">
            <v>opieka paliatywna i hospicyjna</v>
          </cell>
          <cell r="C17">
            <v>26578</v>
          </cell>
          <cell r="D17">
            <v>26578</v>
          </cell>
        </row>
        <row r="18">
          <cell r="A18" t="str">
            <v>B2.8</v>
          </cell>
          <cell r="B18" t="str">
            <v>leczenie stomatologiczne</v>
          </cell>
          <cell r="C18">
            <v>67365</v>
          </cell>
          <cell r="D18">
            <v>67365</v>
          </cell>
        </row>
        <row r="19">
          <cell r="A19" t="str">
            <v>B2.9</v>
          </cell>
          <cell r="B19" t="str">
            <v>lecznictwo uzdrowiskowe</v>
          </cell>
          <cell r="C19">
            <v>26084</v>
          </cell>
          <cell r="D19">
            <v>26084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1650</v>
          </cell>
          <cell r="D20">
            <v>1650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6058</v>
          </cell>
          <cell r="D21">
            <v>6058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57385</v>
          </cell>
          <cell r="D22">
            <v>57385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34540</v>
          </cell>
          <cell r="D23">
            <v>34540</v>
          </cell>
        </row>
        <row r="24">
          <cell r="A24" t="str">
            <v>B2.14</v>
          </cell>
          <cell r="B24" t="str">
            <v>refundacja, z tego:</v>
          </cell>
          <cell r="C24">
            <v>267911</v>
          </cell>
          <cell r="D24">
            <v>267911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267071</v>
          </cell>
          <cell r="D25">
            <v>267071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590</v>
          </cell>
          <cell r="D26">
            <v>590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250</v>
          </cell>
          <cell r="D27">
            <v>250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39413</v>
          </cell>
          <cell r="D32">
            <v>39413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529</v>
          </cell>
          <cell r="D34">
            <v>529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500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59032</v>
          </cell>
          <cell r="D36">
            <v>59032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19516</v>
          </cell>
          <cell r="D37">
            <v>19516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395118</v>
          </cell>
          <cell r="D38">
            <v>395118</v>
          </cell>
        </row>
        <row r="39">
          <cell r="A39" t="str">
            <v>D.</v>
          </cell>
          <cell r="B39" t="str">
            <v>Koszty administracyjne ( D1+...+D8 )</v>
          </cell>
          <cell r="C39">
            <v>17329</v>
          </cell>
          <cell r="D39">
            <v>17329</v>
          </cell>
        </row>
        <row r="40">
          <cell r="A40" t="str">
            <v>D1</v>
          </cell>
          <cell r="B40" t="str">
            <v>zużycie materiałów i energii</v>
          </cell>
          <cell r="C40">
            <v>619</v>
          </cell>
          <cell r="D40">
            <v>619</v>
          </cell>
        </row>
        <row r="41">
          <cell r="A41" t="str">
            <v>D2</v>
          </cell>
          <cell r="B41" t="str">
            <v>usługi obce</v>
          </cell>
          <cell r="C41">
            <v>2175</v>
          </cell>
          <cell r="D41">
            <v>2175</v>
          </cell>
        </row>
        <row r="42">
          <cell r="A42" t="str">
            <v>D3</v>
          </cell>
          <cell r="B42" t="str">
            <v>podatki i opłaty, z tego</v>
          </cell>
          <cell r="C42">
            <v>61</v>
          </cell>
          <cell r="D42">
            <v>61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7</v>
          </cell>
          <cell r="D43">
            <v>7</v>
          </cell>
        </row>
        <row r="44">
          <cell r="A44" t="str">
            <v>D3.1.1</v>
          </cell>
          <cell r="B44" t="str">
            <v>podatek od nieruchomości</v>
          </cell>
          <cell r="C44">
            <v>7</v>
          </cell>
          <cell r="D44">
            <v>7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17</v>
          </cell>
          <cell r="D45">
            <v>17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20</v>
          </cell>
          <cell r="D48">
            <v>20</v>
          </cell>
        </row>
        <row r="49">
          <cell r="A49" t="str">
            <v>D3.6</v>
          </cell>
          <cell r="B49" t="str">
            <v>inne</v>
          </cell>
          <cell r="C49">
            <v>17</v>
          </cell>
          <cell r="D49">
            <v>17</v>
          </cell>
        </row>
        <row r="50">
          <cell r="A50" t="str">
            <v>D4</v>
          </cell>
          <cell r="B50" t="str">
            <v>wynagrodzenia, w tym:</v>
          </cell>
          <cell r="C50">
            <v>11176</v>
          </cell>
          <cell r="D50">
            <v>11176</v>
          </cell>
        </row>
        <row r="51">
          <cell r="A51" t="str">
            <v>D4.1</v>
          </cell>
          <cell r="B51" t="str">
            <v>wynagrodzenia bezosobowe</v>
          </cell>
          <cell r="C51">
            <v>27</v>
          </cell>
          <cell r="D51">
            <v>27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2517</v>
          </cell>
          <cell r="D52">
            <v>2517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1919</v>
          </cell>
          <cell r="D53">
            <v>1919</v>
          </cell>
        </row>
        <row r="54">
          <cell r="A54" t="str">
            <v>D5.2</v>
          </cell>
          <cell r="B54" t="str">
            <v>składki na Fundusz Pracy</v>
          </cell>
          <cell r="C54">
            <v>275</v>
          </cell>
          <cell r="D54">
            <v>275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323</v>
          </cell>
          <cell r="D56">
            <v>323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600</v>
          </cell>
          <cell r="D58">
            <v>600</v>
          </cell>
        </row>
        <row r="59">
          <cell r="A59" t="str">
            <v>D8</v>
          </cell>
          <cell r="B59" t="str">
            <v>pozostałe koszty administracyjne</v>
          </cell>
          <cell r="C59">
            <v>181</v>
          </cell>
          <cell r="D59">
            <v>181</v>
          </cell>
        </row>
        <row r="60">
          <cell r="A60" t="str">
            <v>F</v>
          </cell>
          <cell r="B60" t="str">
            <v>Pozostałe koszty (F1+...+F4)</v>
          </cell>
          <cell r="C60">
            <v>10839</v>
          </cell>
          <cell r="D60">
            <v>10839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10239</v>
          </cell>
          <cell r="D62">
            <v>10239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600</v>
          </cell>
          <cell r="D64">
            <v>600</v>
          </cell>
        </row>
        <row r="65">
          <cell r="A65" t="str">
            <v>H</v>
          </cell>
          <cell r="B65" t="str">
            <v>Koszty finansowe</v>
          </cell>
          <cell r="C65">
            <v>3885</v>
          </cell>
          <cell r="D65">
            <v>3885</v>
          </cell>
        </row>
      </sheetData>
      <sheetData sheetId="16">
        <row r="7">
          <cell r="A7" t="str">
            <v>B2.1</v>
          </cell>
          <cell r="B7" t="str">
            <v>podstawowa opieka zdrowotna</v>
          </cell>
          <cell r="C7">
            <v>368178</v>
          </cell>
          <cell r="D7">
            <v>368178</v>
          </cell>
        </row>
        <row r="8">
          <cell r="A8" t="str">
            <v>B2.2</v>
          </cell>
          <cell r="B8" t="str">
            <v>ambulatoryjna opieka specjalistyczna</v>
          </cell>
          <cell r="C8">
            <v>202098</v>
          </cell>
          <cell r="D8">
            <v>202098</v>
          </cell>
        </row>
        <row r="9">
          <cell r="A9" t="str">
            <v>B2.3</v>
          </cell>
          <cell r="B9" t="str">
            <v>leczenie szpitalne, w tym:</v>
          </cell>
          <cell r="C9">
            <v>1317750</v>
          </cell>
          <cell r="D9">
            <v>1317750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107594</v>
          </cell>
          <cell r="D10">
            <v>107594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98075</v>
          </cell>
          <cell r="D11">
            <v>98075</v>
          </cell>
        </row>
        <row r="12">
          <cell r="A12" t="str">
            <v>B2.3.2</v>
          </cell>
          <cell r="B12" t="str">
            <v>chemioterapia, w tym:</v>
          </cell>
          <cell r="C12">
            <v>44043</v>
          </cell>
          <cell r="D12">
            <v>44043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20777</v>
          </cell>
          <cell r="D13">
            <v>20777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98627</v>
          </cell>
          <cell r="D14">
            <v>98627</v>
          </cell>
        </row>
        <row r="15">
          <cell r="A15" t="str">
            <v>B2.5</v>
          </cell>
          <cell r="B15" t="str">
            <v>rehabilitacja lecznicza</v>
          </cell>
          <cell r="C15">
            <v>76730</v>
          </cell>
          <cell r="D15">
            <v>76730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43307</v>
          </cell>
          <cell r="D16">
            <v>43307</v>
          </cell>
        </row>
        <row r="17">
          <cell r="A17" t="str">
            <v>B2.7</v>
          </cell>
          <cell r="B17" t="str">
            <v>opieka paliatywna i hospicyjna</v>
          </cell>
          <cell r="C17">
            <v>22078</v>
          </cell>
          <cell r="D17">
            <v>22078</v>
          </cell>
        </row>
        <row r="18">
          <cell r="A18" t="str">
            <v>B2.8</v>
          </cell>
          <cell r="B18" t="str">
            <v>leczenie stomatologiczne</v>
          </cell>
          <cell r="C18">
            <v>83799</v>
          </cell>
          <cell r="D18">
            <v>83799</v>
          </cell>
        </row>
        <row r="19">
          <cell r="A19" t="str">
            <v>B2.9</v>
          </cell>
          <cell r="B19" t="str">
            <v>lecznictwo uzdrowiskowe</v>
          </cell>
          <cell r="C19">
            <v>21202</v>
          </cell>
          <cell r="D19">
            <v>21202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2961</v>
          </cell>
          <cell r="D20">
            <v>2961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6380</v>
          </cell>
          <cell r="D21">
            <v>6380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74152</v>
          </cell>
          <cell r="D22">
            <v>74152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35008</v>
          </cell>
          <cell r="D23">
            <v>35008</v>
          </cell>
        </row>
        <row r="24">
          <cell r="A24" t="str">
            <v>B2.14</v>
          </cell>
          <cell r="B24" t="str">
            <v>refundacja, z tego:</v>
          </cell>
          <cell r="C24">
            <v>284974</v>
          </cell>
          <cell r="D24">
            <v>284974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284304</v>
          </cell>
          <cell r="D25">
            <v>284304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520</v>
          </cell>
          <cell r="D26">
            <v>520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</v>
          </cell>
          <cell r="D27">
            <v>150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11968</v>
          </cell>
          <cell r="D32">
            <v>11968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500</v>
          </cell>
          <cell r="D34">
            <v>500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95131</v>
          </cell>
          <cell r="D36">
            <v>95131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19324</v>
          </cell>
          <cell r="D37">
            <v>19324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403826</v>
          </cell>
          <cell r="D38">
            <v>403826</v>
          </cell>
        </row>
        <row r="39">
          <cell r="A39" t="str">
            <v>D.</v>
          </cell>
          <cell r="B39" t="str">
            <v>Koszty administracyjne ( D1+...+D8 )</v>
          </cell>
          <cell r="C39">
            <v>19510</v>
          </cell>
          <cell r="D39">
            <v>19510</v>
          </cell>
        </row>
        <row r="40">
          <cell r="A40" t="str">
            <v>D1</v>
          </cell>
          <cell r="B40" t="str">
            <v>zużycie materiałów i energii</v>
          </cell>
          <cell r="C40">
            <v>605</v>
          </cell>
          <cell r="D40">
            <v>605</v>
          </cell>
        </row>
        <row r="41">
          <cell r="A41" t="str">
            <v>D2</v>
          </cell>
          <cell r="B41" t="str">
            <v>usługi obce</v>
          </cell>
          <cell r="C41">
            <v>2345</v>
          </cell>
          <cell r="D41">
            <v>2345</v>
          </cell>
        </row>
        <row r="42">
          <cell r="A42" t="str">
            <v>D3</v>
          </cell>
          <cell r="B42" t="str">
            <v>podatki i opłaty, z tego</v>
          </cell>
          <cell r="C42">
            <v>136</v>
          </cell>
          <cell r="D42">
            <v>136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30</v>
          </cell>
          <cell r="D43">
            <v>30</v>
          </cell>
        </row>
        <row r="44">
          <cell r="A44" t="str">
            <v>D3.1.1</v>
          </cell>
          <cell r="B44" t="str">
            <v>podatek od nieruchomości</v>
          </cell>
          <cell r="C44">
            <v>27</v>
          </cell>
          <cell r="D44">
            <v>27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9</v>
          </cell>
          <cell r="D45">
            <v>9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94</v>
          </cell>
          <cell r="D48">
            <v>94</v>
          </cell>
        </row>
        <row r="49">
          <cell r="A49" t="str">
            <v>D3.6</v>
          </cell>
          <cell r="B49" t="str">
            <v>inne</v>
          </cell>
          <cell r="C49">
            <v>3</v>
          </cell>
          <cell r="D49">
            <v>3</v>
          </cell>
        </row>
        <row r="50">
          <cell r="A50" t="str">
            <v>D4</v>
          </cell>
          <cell r="B50" t="str">
            <v>wynagrodzenia, w tym:</v>
          </cell>
          <cell r="C50">
            <v>11662</v>
          </cell>
          <cell r="D50">
            <v>11662</v>
          </cell>
        </row>
        <row r="51">
          <cell r="A51" t="str">
            <v>D4.1</v>
          </cell>
          <cell r="B51" t="str">
            <v>wynagrodzenia bezosobowe</v>
          </cell>
          <cell r="C51">
            <v>30</v>
          </cell>
          <cell r="D51">
            <v>30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2617</v>
          </cell>
          <cell r="D52">
            <v>2617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2003</v>
          </cell>
          <cell r="D53">
            <v>2003</v>
          </cell>
        </row>
        <row r="54">
          <cell r="A54" t="str">
            <v>D5.2</v>
          </cell>
          <cell r="B54" t="str">
            <v>składki na Fundusz Pracy</v>
          </cell>
          <cell r="C54">
            <v>285</v>
          </cell>
          <cell r="D54">
            <v>285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329</v>
          </cell>
          <cell r="D56">
            <v>329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1980</v>
          </cell>
          <cell r="D58">
            <v>1980</v>
          </cell>
        </row>
        <row r="59">
          <cell r="A59" t="str">
            <v>D8</v>
          </cell>
          <cell r="B59" t="str">
            <v>pozostałe koszty administracyjne</v>
          </cell>
          <cell r="C59">
            <v>165</v>
          </cell>
          <cell r="D59">
            <v>165</v>
          </cell>
        </row>
        <row r="60">
          <cell r="A60" t="str">
            <v>F</v>
          </cell>
          <cell r="B60" t="str">
            <v>Pozostałe koszty (F1+...+F4)</v>
          </cell>
          <cell r="C60">
            <v>946</v>
          </cell>
          <cell r="D60">
            <v>946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209</v>
          </cell>
          <cell r="D62">
            <v>209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737</v>
          </cell>
          <cell r="D64">
            <v>737</v>
          </cell>
        </row>
        <row r="65">
          <cell r="A65" t="str">
            <v>H</v>
          </cell>
          <cell r="B65" t="str">
            <v>Koszty finansowe</v>
          </cell>
          <cell r="C65">
            <v>45</v>
          </cell>
          <cell r="D65">
            <v>45</v>
          </cell>
        </row>
      </sheetData>
      <sheetData sheetId="17">
        <row r="7">
          <cell r="A7" t="str">
            <v>B2.1</v>
          </cell>
          <cell r="B7" t="str">
            <v>podstawowa opieka zdrowotna</v>
          </cell>
          <cell r="C7">
            <v>942844</v>
          </cell>
          <cell r="D7">
            <v>942844</v>
          </cell>
        </row>
        <row r="8">
          <cell r="A8" t="str">
            <v>B2.2</v>
          </cell>
          <cell r="B8" t="str">
            <v>ambulatoryjna opieka specjalistyczna</v>
          </cell>
          <cell r="C8">
            <v>527368</v>
          </cell>
          <cell r="D8">
            <v>527368</v>
          </cell>
        </row>
        <row r="9">
          <cell r="A9" t="str">
            <v>B2.3</v>
          </cell>
          <cell r="B9" t="str">
            <v>leczenie szpitalne, w tym:</v>
          </cell>
          <cell r="C9">
            <v>3419238</v>
          </cell>
          <cell r="D9">
            <v>3419238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324340</v>
          </cell>
          <cell r="D10">
            <v>324340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299902</v>
          </cell>
          <cell r="D11">
            <v>299902</v>
          </cell>
        </row>
        <row r="12">
          <cell r="A12" t="str">
            <v>B2.3.2</v>
          </cell>
          <cell r="B12" t="str">
            <v>chemioterapia, w tym:</v>
          </cell>
          <cell r="C12">
            <v>132218</v>
          </cell>
          <cell r="D12">
            <v>132218</v>
          </cell>
        </row>
        <row r="13">
          <cell r="A13" t="str">
            <v>B2.3.2.1</v>
          </cell>
          <cell r="B13" t="str">
            <v>leki stosowane w chemioterapii</v>
          </cell>
          <cell r="C13">
            <v>63294</v>
          </cell>
          <cell r="D13">
            <v>63294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231238</v>
          </cell>
          <cell r="D14">
            <v>231238</v>
          </cell>
        </row>
        <row r="15">
          <cell r="A15" t="str">
            <v>B2.5</v>
          </cell>
          <cell r="B15" t="str">
            <v>rehabilitacja lecznicza</v>
          </cell>
          <cell r="C15">
            <v>187293</v>
          </cell>
          <cell r="D15">
            <v>187293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87978</v>
          </cell>
          <cell r="D16">
            <v>87978</v>
          </cell>
        </row>
        <row r="17">
          <cell r="A17" t="str">
            <v>B2.7</v>
          </cell>
          <cell r="B17" t="str">
            <v>opieka paliatywna i hospicyjna</v>
          </cell>
          <cell r="C17">
            <v>62823</v>
          </cell>
          <cell r="D17">
            <v>62823</v>
          </cell>
        </row>
        <row r="18">
          <cell r="A18" t="str">
            <v>B2.8</v>
          </cell>
          <cell r="B18" t="str">
            <v>leczenie stomatologiczne</v>
          </cell>
          <cell r="C18">
            <v>149436</v>
          </cell>
          <cell r="D18">
            <v>149436</v>
          </cell>
        </row>
        <row r="19">
          <cell r="A19" t="str">
            <v>B2.9</v>
          </cell>
          <cell r="B19" t="str">
            <v>lecznictwo uzdrowiskowe</v>
          </cell>
          <cell r="C19">
            <v>61500</v>
          </cell>
          <cell r="D19">
            <v>61500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3527</v>
          </cell>
          <cell r="D20">
            <v>3527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18418</v>
          </cell>
          <cell r="D21">
            <v>18418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221835</v>
          </cell>
          <cell r="D22">
            <v>221835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88000</v>
          </cell>
          <cell r="D23">
            <v>88000</v>
          </cell>
        </row>
        <row r="24">
          <cell r="A24" t="str">
            <v>B2.14</v>
          </cell>
          <cell r="B24" t="str">
            <v>refundacja, z tego:</v>
          </cell>
          <cell r="C24">
            <v>776000</v>
          </cell>
          <cell r="D24">
            <v>776000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773000</v>
          </cell>
          <cell r="D25">
            <v>773000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1500</v>
          </cell>
          <cell r="D26">
            <v>1500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1500</v>
          </cell>
          <cell r="D27">
            <v>1500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25332</v>
          </cell>
          <cell r="D32">
            <v>25332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0</v>
          </cell>
          <cell r="D34">
            <v>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133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151417</v>
          </cell>
          <cell r="D36">
            <v>151417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46347</v>
          </cell>
          <cell r="D37">
            <v>46347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1139196</v>
          </cell>
          <cell r="D38">
            <v>1139196</v>
          </cell>
        </row>
        <row r="39">
          <cell r="A39" t="str">
            <v>D.</v>
          </cell>
          <cell r="B39" t="str">
            <v>Koszty administracyjne ( D1+...+D8 )</v>
          </cell>
          <cell r="C39">
            <v>44231</v>
          </cell>
          <cell r="D39">
            <v>44231</v>
          </cell>
        </row>
        <row r="40">
          <cell r="A40" t="str">
            <v>D1</v>
          </cell>
          <cell r="B40" t="str">
            <v>zużycie materiałów i energii</v>
          </cell>
          <cell r="C40">
            <v>2360</v>
          </cell>
          <cell r="D40">
            <v>2360</v>
          </cell>
        </row>
        <row r="41">
          <cell r="A41" t="str">
            <v>D2</v>
          </cell>
          <cell r="B41" t="str">
            <v>usługi obce</v>
          </cell>
          <cell r="C41">
            <v>6904</v>
          </cell>
          <cell r="D41">
            <v>6904</v>
          </cell>
        </row>
        <row r="42">
          <cell r="A42" t="str">
            <v>D3</v>
          </cell>
          <cell r="B42" t="str">
            <v>podatki i opłaty, z tego</v>
          </cell>
          <cell r="C42">
            <v>554</v>
          </cell>
          <cell r="D42">
            <v>554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52</v>
          </cell>
          <cell r="D43">
            <v>52</v>
          </cell>
        </row>
        <row r="44">
          <cell r="A44" t="str">
            <v>D3.1.1</v>
          </cell>
          <cell r="B44" t="str">
            <v>podatek od nieruchomości</v>
          </cell>
          <cell r="C44">
            <v>52</v>
          </cell>
          <cell r="D44">
            <v>52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240</v>
          </cell>
          <cell r="D45">
            <v>240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256</v>
          </cell>
          <cell r="D48">
            <v>256</v>
          </cell>
        </row>
        <row r="49">
          <cell r="A49" t="str">
            <v>D3.6</v>
          </cell>
          <cell r="B49" t="str">
            <v>inne</v>
          </cell>
          <cell r="C49">
            <v>6</v>
          </cell>
          <cell r="D49">
            <v>6</v>
          </cell>
        </row>
        <row r="50">
          <cell r="A50" t="str">
            <v>D4</v>
          </cell>
          <cell r="B50" t="str">
            <v>wynagrodzenia, w tym:</v>
          </cell>
          <cell r="C50">
            <v>24414</v>
          </cell>
          <cell r="D50">
            <v>24414</v>
          </cell>
        </row>
        <row r="51">
          <cell r="A51" t="str">
            <v>D4.1</v>
          </cell>
          <cell r="B51" t="str">
            <v>wynagrodzenia bezosobowe</v>
          </cell>
          <cell r="C51">
            <v>123</v>
          </cell>
          <cell r="D51">
            <v>123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5481</v>
          </cell>
          <cell r="D52">
            <v>5481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4191</v>
          </cell>
          <cell r="D53">
            <v>4191</v>
          </cell>
        </row>
        <row r="54">
          <cell r="A54" t="str">
            <v>D5.2</v>
          </cell>
          <cell r="B54" t="str">
            <v>składki na Fundusz Pracy</v>
          </cell>
          <cell r="C54">
            <v>597</v>
          </cell>
          <cell r="D54">
            <v>597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693</v>
          </cell>
          <cell r="D56">
            <v>693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4000</v>
          </cell>
          <cell r="D58">
            <v>4000</v>
          </cell>
        </row>
        <row r="59">
          <cell r="A59" t="str">
            <v>D8</v>
          </cell>
          <cell r="B59" t="str">
            <v>pozostałe koszty administracyjne</v>
          </cell>
          <cell r="C59">
            <v>518</v>
          </cell>
          <cell r="D59">
            <v>518</v>
          </cell>
        </row>
        <row r="60">
          <cell r="A60" t="str">
            <v>F</v>
          </cell>
          <cell r="B60" t="str">
            <v>Pozostałe koszty (F1+...+F4)</v>
          </cell>
          <cell r="C60">
            <v>21250</v>
          </cell>
          <cell r="D60">
            <v>21250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50</v>
          </cell>
          <cell r="D61">
            <v>50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20000</v>
          </cell>
          <cell r="D62">
            <v>20000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1200</v>
          </cell>
          <cell r="D64">
            <v>1200</v>
          </cell>
        </row>
        <row r="65">
          <cell r="A65" t="str">
            <v>H</v>
          </cell>
          <cell r="B65" t="str">
            <v>Koszty finansowe</v>
          </cell>
          <cell r="C65">
            <v>3200</v>
          </cell>
          <cell r="D65">
            <v>3200</v>
          </cell>
        </row>
      </sheetData>
      <sheetData sheetId="18">
        <row r="7">
          <cell r="A7" t="str">
            <v>B2.1</v>
          </cell>
          <cell r="B7" t="str">
            <v>podstawowa opieka zdrowotna</v>
          </cell>
          <cell r="C7">
            <v>439088</v>
          </cell>
          <cell r="D7">
            <v>439088</v>
          </cell>
        </row>
        <row r="8">
          <cell r="A8" t="str">
            <v>B2.2</v>
          </cell>
          <cell r="B8" t="str">
            <v>ambulatoryjna opieka specjalistyczna</v>
          </cell>
          <cell r="C8">
            <v>254124</v>
          </cell>
          <cell r="D8">
            <v>254124</v>
          </cell>
        </row>
        <row r="9">
          <cell r="A9" t="str">
            <v>B2.3</v>
          </cell>
          <cell r="B9" t="str">
            <v>leczenie szpitalne, w tym:</v>
          </cell>
          <cell r="C9">
            <v>1668330</v>
          </cell>
          <cell r="D9">
            <v>1668330</v>
          </cell>
        </row>
        <row r="10">
          <cell r="A10" t="str">
            <v>B2.3.1</v>
          </cell>
          <cell r="B10" t="str">
            <v>programy terapeutyczne (lekowe), w tym:</v>
          </cell>
          <cell r="C10">
            <v>130569</v>
          </cell>
          <cell r="D10">
            <v>130569</v>
          </cell>
        </row>
        <row r="11">
          <cell r="A11" t="str">
            <v>B2.3.1.1</v>
          </cell>
          <cell r="B11" t="str">
            <v>leki, środki spożywcze specjalnego przeznaczenia żywieniowego objęte programami lekowymi</v>
          </cell>
          <cell r="C11">
            <v>119099</v>
          </cell>
          <cell r="D11">
            <v>119099</v>
          </cell>
        </row>
        <row r="12">
          <cell r="A12" t="str">
            <v>B2.3.2</v>
          </cell>
          <cell r="B12" t="str">
            <v>chemioterapia, w tym:</v>
          </cell>
          <cell r="C12">
            <v>60803</v>
          </cell>
          <cell r="D12">
            <v>60803</v>
          </cell>
        </row>
        <row r="13">
          <cell r="A13" t="str">
            <v>B2.3.2.1</v>
          </cell>
          <cell r="B13" t="str">
            <v>leki stosowane w chemioterapii</v>
          </cell>
          <cell r="C13">
            <v>27424</v>
          </cell>
          <cell r="D13">
            <v>27424</v>
          </cell>
        </row>
        <row r="14">
          <cell r="A14" t="str">
            <v>B2.4</v>
          </cell>
          <cell r="B14" t="str">
            <v>opieka psychiatryczna i leczenie uzależnień</v>
          </cell>
          <cell r="C14">
            <v>102752</v>
          </cell>
          <cell r="D14">
            <v>102752</v>
          </cell>
        </row>
        <row r="15">
          <cell r="A15" t="str">
            <v>B2.5</v>
          </cell>
          <cell r="B15" t="str">
            <v>rehabilitacja lecznicza</v>
          </cell>
          <cell r="C15">
            <v>77490</v>
          </cell>
          <cell r="D15">
            <v>77490</v>
          </cell>
        </row>
        <row r="16">
          <cell r="A16" t="str">
            <v>B2.6</v>
          </cell>
          <cell r="B16" t="str">
            <v>świadczenia pielęgnacyjne i opiekuńcze w ramach opieki długoterminowej</v>
          </cell>
          <cell r="C16">
            <v>46776</v>
          </cell>
          <cell r="D16">
            <v>46776</v>
          </cell>
        </row>
        <row r="17">
          <cell r="A17" t="str">
            <v>B2.7</v>
          </cell>
          <cell r="B17" t="str">
            <v>opieka paliatywna i hospicyjna</v>
          </cell>
          <cell r="C17">
            <v>17261</v>
          </cell>
          <cell r="D17">
            <v>17261</v>
          </cell>
        </row>
        <row r="18">
          <cell r="A18" t="str">
            <v>B2.8</v>
          </cell>
          <cell r="B18" t="str">
            <v>leczenie stomatologiczne</v>
          </cell>
          <cell r="C18">
            <v>83579</v>
          </cell>
          <cell r="D18">
            <v>83579</v>
          </cell>
        </row>
        <row r="19">
          <cell r="A19" t="str">
            <v>B2.9</v>
          </cell>
          <cell r="B19" t="str">
            <v>lecznictwo uzdrowiskowe</v>
          </cell>
          <cell r="C19">
            <v>27564</v>
          </cell>
          <cell r="D19">
            <v>27564</v>
          </cell>
        </row>
        <row r="20">
          <cell r="A20" t="str">
            <v>B2.10</v>
          </cell>
          <cell r="B20" t="str">
            <v>pomoc doraźna i transport sanitarny</v>
          </cell>
          <cell r="C20">
            <v>2472</v>
          </cell>
          <cell r="D20">
            <v>2472</v>
          </cell>
        </row>
        <row r="21">
          <cell r="A21" t="str">
            <v>B2.11</v>
          </cell>
          <cell r="B21" t="str">
            <v>koszty profilaktycznych programów zdrowotnych finansowanych ze środków własnych Funduszu</v>
          </cell>
          <cell r="C21">
            <v>9937</v>
          </cell>
          <cell r="D21">
            <v>9937</v>
          </cell>
        </row>
        <row r="22">
          <cell r="A22" t="str">
            <v>B2.12</v>
          </cell>
          <cell r="B22" t="str">
            <v>świadczenia opieki zdrowotnej kontraktowane odrębnie</v>
          </cell>
          <cell r="C22">
            <v>146491</v>
          </cell>
          <cell r="D22">
            <v>146491</v>
          </cell>
        </row>
        <row r="23">
          <cell r="A23" t="str">
            <v>B2.13</v>
          </cell>
          <cell r="B23" t="str">
            <v>zaopatrzenie w wyroby medyczne oraz ich naprawa, o których mowa w ustawie o refundacji</v>
          </cell>
          <cell r="C23">
            <v>42300</v>
          </cell>
          <cell r="D23">
            <v>42300</v>
          </cell>
        </row>
        <row r="24">
          <cell r="A24" t="str">
            <v>B2.14</v>
          </cell>
          <cell r="B24" t="str">
            <v>refundacja, z tego:</v>
          </cell>
          <cell r="C24">
            <v>375924</v>
          </cell>
          <cell r="D24">
            <v>375924</v>
          </cell>
        </row>
        <row r="25">
          <cell r="A25" t="str">
            <v>B2.14.1</v>
          </cell>
          <cell r="B25" t="str">
            <v>refundacja leków, środków spożywczych specjalnego przeznaczenia żywieniowego oraz wyrobów medycznych dostępnych w aptece na receptę</v>
          </cell>
          <cell r="C25">
            <v>375164</v>
          </cell>
          <cell r="D25">
            <v>375164</v>
          </cell>
        </row>
        <row r="26">
          <cell r="A26" t="str">
            <v>B2.14.2</v>
          </cell>
          <cell r="B26" t="str">
            <v>refundacja leków, o których mowa w art. 15 ust. 2 pkt 17 ustawy</v>
          </cell>
          <cell r="C26">
            <v>410</v>
          </cell>
          <cell r="D26">
            <v>410</v>
          </cell>
        </row>
        <row r="27">
          <cell r="A27" t="str">
            <v>B2.14.3</v>
          </cell>
          <cell r="B27" t="str">
            <v>refundacja środków spożywczych specjalnego przeznaczenia żywieniowego, o których mowa w art. 15 ust. 2 pkt 18 ustawy</v>
          </cell>
          <cell r="C27">
            <v>350</v>
          </cell>
          <cell r="D27">
            <v>350</v>
          </cell>
        </row>
        <row r="28">
          <cell r="A28" t="str">
            <v>B2.15</v>
          </cell>
          <cell r="B28" t="str">
            <v>rezerwa na koszty realizacji zadań wynikajacych z przepisów o koordynacji</v>
          </cell>
          <cell r="C28">
            <v>0</v>
          </cell>
          <cell r="D28">
            <v>0</v>
          </cell>
        </row>
        <row r="29">
          <cell r="A29" t="str">
            <v>B2.16</v>
          </cell>
          <cell r="B29" t="str">
            <v>rezerwa na pokrycie kosztów świadczeń opieki zdrowotnej oraz refundacji leków, w tym:</v>
          </cell>
          <cell r="C29">
            <v>0</v>
          </cell>
          <cell r="D29">
            <v>0</v>
          </cell>
        </row>
        <row r="30">
          <cell r="A30" t="str">
            <v>B2.16.1</v>
          </cell>
          <cell r="B30" t="str">
            <v>rezerwa, o której mowa w art. 118 ust. 2 pkt 2 lit. c ustawy</v>
          </cell>
          <cell r="C30">
            <v>0</v>
          </cell>
          <cell r="D30">
            <v>0</v>
          </cell>
        </row>
        <row r="31">
          <cell r="A31" t="str">
            <v>B2.17</v>
          </cell>
          <cell r="B31" t="str">
            <v>rezerwa na koszty świadczeń opieki zdrowotnej w ramach migracji ubezpieczonych</v>
          </cell>
          <cell r="C31">
            <v>0</v>
          </cell>
          <cell r="D31">
            <v>0</v>
          </cell>
        </row>
        <row r="32">
          <cell r="A32" t="str">
            <v>B2.18</v>
          </cell>
          <cell r="B32" t="str">
            <v>koszty świadczeń opieki zdrowotnej z lat ubiegłych</v>
          </cell>
          <cell r="C32">
            <v>874</v>
          </cell>
          <cell r="D32">
            <v>874</v>
          </cell>
        </row>
        <row r="33">
          <cell r="A33" t="str">
            <v>B2.19</v>
          </cell>
          <cell r="B33" t="str">
            <v>rezerwa na koszty świadczeń opieki zdrowotnej udzielone w ramach transgranicznej opieki zdrowotnej</v>
          </cell>
          <cell r="C33">
            <v>0</v>
          </cell>
          <cell r="D33">
            <v>0</v>
          </cell>
        </row>
        <row r="34">
          <cell r="A34" t="str">
            <v>B2.20</v>
          </cell>
          <cell r="B34" t="str">
            <v>rezerwa na dofinansowanie programów polityki zdrowotnej na podstawie art. 48d ustawy</v>
          </cell>
          <cell r="C34">
            <v>2000</v>
          </cell>
          <cell r="D34">
            <v>2000</v>
          </cell>
        </row>
        <row r="35">
          <cell r="A35" t="str">
            <v>B3</v>
          </cell>
          <cell r="B35" t="str">
            <v xml:space="preserve">Koszty programów polityki zdrowotnej realizowanych na zlecenie </v>
          </cell>
          <cell r="C35">
            <v>0</v>
          </cell>
          <cell r="D35">
            <v>890</v>
          </cell>
        </row>
        <row r="36">
          <cell r="A36" t="str">
            <v>B4</v>
          </cell>
          <cell r="B36" t="str">
            <v>Koszty realizacji zadań zespołów ratownictwa medycznego</v>
          </cell>
          <cell r="C36">
            <v>104185</v>
          </cell>
          <cell r="D36">
            <v>104185</v>
          </cell>
        </row>
        <row r="37">
          <cell r="A37" t="str">
            <v>B5</v>
          </cell>
          <cell r="B37" t="str">
            <v>Koszty finansowania leku, środka spożywczego specjalnego przeznaczenia żywieniowego oraz wyrobu medycznego w części finansowanej z budżetu państwa zgodnie z art. 43a ust. 3 ustawy</v>
          </cell>
          <cell r="C37">
            <v>24176</v>
          </cell>
          <cell r="D37">
            <v>24176</v>
          </cell>
        </row>
        <row r="38">
          <cell r="A38" t="str">
            <v>Bn</v>
          </cell>
          <cell r="B38" t="str">
            <v>Całkowity budżet na refundację
(B2.3.1.1+B2.3.2.1+B2.14+B2.16.1)</v>
          </cell>
          <cell r="C38">
            <v>522447</v>
          </cell>
          <cell r="D38">
            <v>522447</v>
          </cell>
        </row>
        <row r="39">
          <cell r="A39" t="str">
            <v>D.</v>
          </cell>
          <cell r="B39" t="str">
            <v>Koszty administracyjne ( D1+...+D8 )</v>
          </cell>
          <cell r="C39">
            <v>22821</v>
          </cell>
          <cell r="D39">
            <v>22821</v>
          </cell>
        </row>
        <row r="40">
          <cell r="A40" t="str">
            <v>D1</v>
          </cell>
          <cell r="B40" t="str">
            <v>zużycie materiałów i energii</v>
          </cell>
          <cell r="C40">
            <v>870</v>
          </cell>
          <cell r="D40">
            <v>870</v>
          </cell>
        </row>
        <row r="41">
          <cell r="A41" t="str">
            <v>D2</v>
          </cell>
          <cell r="B41" t="str">
            <v>usługi obce</v>
          </cell>
          <cell r="C41">
            <v>2745</v>
          </cell>
          <cell r="D41">
            <v>2745</v>
          </cell>
        </row>
        <row r="42">
          <cell r="A42" t="str">
            <v>D3</v>
          </cell>
          <cell r="B42" t="str">
            <v>podatki i opłaty, z tego</v>
          </cell>
          <cell r="C42">
            <v>230</v>
          </cell>
          <cell r="D42">
            <v>230</v>
          </cell>
        </row>
        <row r="43">
          <cell r="A43" t="str">
            <v>D3.1</v>
          </cell>
          <cell r="B43" t="str">
            <v>podatki stanowiące dochody własne jednostek samorządu terytorialnego, w tym:</v>
          </cell>
          <cell r="C43">
            <v>25</v>
          </cell>
          <cell r="D43">
            <v>25</v>
          </cell>
        </row>
        <row r="44">
          <cell r="A44" t="str">
            <v>D3.1.1</v>
          </cell>
          <cell r="B44" t="str">
            <v>podatek od nieruchomości</v>
          </cell>
          <cell r="C44">
            <v>25</v>
          </cell>
          <cell r="D44">
            <v>25</v>
          </cell>
        </row>
        <row r="45">
          <cell r="A45" t="str">
            <v>D3.2</v>
          </cell>
          <cell r="B45" t="str">
            <v>opłaty stanowiące dochody własne jednostek samorządu terytorialnego</v>
          </cell>
          <cell r="C45">
            <v>23</v>
          </cell>
          <cell r="D45">
            <v>23</v>
          </cell>
        </row>
        <row r="46">
          <cell r="A46" t="str">
            <v>D3.3</v>
          </cell>
          <cell r="B46" t="str">
            <v>VAT</v>
          </cell>
          <cell r="C46">
            <v>0</v>
          </cell>
          <cell r="D46">
            <v>0</v>
          </cell>
        </row>
        <row r="47">
          <cell r="A47" t="str">
            <v>D3.4</v>
          </cell>
          <cell r="B47" t="str">
            <v>podatek akcyzowy</v>
          </cell>
          <cell r="C47">
            <v>0</v>
          </cell>
          <cell r="D47">
            <v>0</v>
          </cell>
        </row>
        <row r="48">
          <cell r="A48" t="str">
            <v>D3.5</v>
          </cell>
          <cell r="B48" t="str">
            <v>wpłaty na PFRON</v>
          </cell>
          <cell r="C48">
            <v>142</v>
          </cell>
          <cell r="D48">
            <v>142</v>
          </cell>
        </row>
        <row r="49">
          <cell r="A49" t="str">
            <v>D3.6</v>
          </cell>
          <cell r="B49" t="str">
            <v>inne</v>
          </cell>
          <cell r="C49">
            <v>40</v>
          </cell>
          <cell r="D49">
            <v>40</v>
          </cell>
        </row>
        <row r="50">
          <cell r="A50" t="str">
            <v>D4</v>
          </cell>
          <cell r="B50" t="str">
            <v>wynagrodzenia, w tym:</v>
          </cell>
          <cell r="C50">
            <v>13741</v>
          </cell>
          <cell r="D50">
            <v>13741</v>
          </cell>
        </row>
        <row r="51">
          <cell r="A51" t="str">
            <v>D4.1</v>
          </cell>
          <cell r="B51" t="str">
            <v>wynagrodzenia bezosobowe</v>
          </cell>
          <cell r="C51">
            <v>57</v>
          </cell>
          <cell r="D51">
            <v>57</v>
          </cell>
        </row>
        <row r="52">
          <cell r="A52" t="str">
            <v>D5</v>
          </cell>
          <cell r="B52" t="str">
            <v>ubezpieczenie społeczne i inne świadczenia, z tego:</v>
          </cell>
          <cell r="C52">
            <v>3089</v>
          </cell>
          <cell r="D52">
            <v>3089</v>
          </cell>
        </row>
        <row r="53">
          <cell r="A53" t="str">
            <v>D5.1</v>
          </cell>
          <cell r="B53" t="str">
            <v>składki na Fundusz Ubezpieczeń Społecznych</v>
          </cell>
          <cell r="C53">
            <v>2359</v>
          </cell>
          <cell r="D53">
            <v>2359</v>
          </cell>
        </row>
        <row r="54">
          <cell r="A54" t="str">
            <v>D5.2</v>
          </cell>
          <cell r="B54" t="str">
            <v>składki na Fundusz Pracy</v>
          </cell>
          <cell r="C54">
            <v>337</v>
          </cell>
          <cell r="D54">
            <v>337</v>
          </cell>
        </row>
        <row r="55">
          <cell r="A55" t="str">
            <v>D5.3</v>
          </cell>
          <cell r="B55" t="str">
            <v>składki na Fundusz Gwarantowanych Świadczeń Pracowniczych</v>
          </cell>
          <cell r="C55">
            <v>0</v>
          </cell>
          <cell r="D55">
            <v>0</v>
          </cell>
        </row>
        <row r="56">
          <cell r="A56" t="str">
            <v>D5.4</v>
          </cell>
          <cell r="B56" t="str">
            <v>pozostałe świadczenia</v>
          </cell>
          <cell r="C56">
            <v>393</v>
          </cell>
          <cell r="D56">
            <v>393</v>
          </cell>
        </row>
        <row r="57">
          <cell r="A57" t="str">
            <v>D6</v>
          </cell>
          <cell r="B57" t="str">
            <v>koszty funkcjonowania Rady Funduszu</v>
          </cell>
          <cell r="C57">
            <v>0</v>
          </cell>
          <cell r="D57">
            <v>0</v>
          </cell>
        </row>
        <row r="58">
          <cell r="A58" t="str">
            <v>D7</v>
          </cell>
          <cell r="B58" t="str">
            <v>amortyzacja środków trwałych oraz wartości niematerialnych i prawnych</v>
          </cell>
          <cell r="C58">
            <v>1999</v>
          </cell>
          <cell r="D58">
            <v>1999</v>
          </cell>
        </row>
        <row r="59">
          <cell r="A59" t="str">
            <v>D8</v>
          </cell>
          <cell r="B59" t="str">
            <v>pozostałe koszty administracyjne</v>
          </cell>
          <cell r="C59">
            <v>147</v>
          </cell>
          <cell r="D59">
            <v>147</v>
          </cell>
        </row>
        <row r="60">
          <cell r="A60" t="str">
            <v>F</v>
          </cell>
          <cell r="B60" t="str">
            <v>Pozostałe koszty (F1+...+F4)</v>
          </cell>
          <cell r="C60">
            <v>956</v>
          </cell>
          <cell r="D60">
            <v>956</v>
          </cell>
        </row>
        <row r="61">
          <cell r="A61" t="str">
            <v>F1</v>
          </cell>
          <cell r="B61" t="str">
            <v>wydanie i utrzymanie kart ubezpieczenia (w tym części stałych i zamiennych książeczek usług medycznych) oraz recept</v>
          </cell>
          <cell r="C61">
            <v>0</v>
          </cell>
          <cell r="D61">
            <v>0</v>
          </cell>
        </row>
        <row r="62">
          <cell r="A62" t="str">
            <v>F2</v>
          </cell>
          <cell r="B62" t="str">
            <v>rezerwa na zobowiązania wynikające z postępowań sądowych</v>
          </cell>
          <cell r="C62">
            <v>0</v>
          </cell>
          <cell r="D62">
            <v>0</v>
          </cell>
        </row>
        <row r="63">
          <cell r="A63" t="str">
            <v>F3</v>
          </cell>
          <cell r="B63" t="str">
            <v>inne rezerwy</v>
          </cell>
          <cell r="C63">
            <v>0</v>
          </cell>
          <cell r="D63">
            <v>0</v>
          </cell>
        </row>
        <row r="64">
          <cell r="A64" t="str">
            <v>F4</v>
          </cell>
          <cell r="B64" t="str">
            <v>inne koszty</v>
          </cell>
          <cell r="C64">
            <v>956</v>
          </cell>
          <cell r="D64">
            <v>956</v>
          </cell>
        </row>
        <row r="65">
          <cell r="A65" t="str">
            <v>H</v>
          </cell>
          <cell r="B65" t="str">
            <v>Koszty finansowe</v>
          </cell>
          <cell r="C65">
            <v>66</v>
          </cell>
          <cell r="D65">
            <v>66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J22" sqref="J22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8" width="9.140625" style="3"/>
    <col min="9" max="9" width="17.85546875" style="3" bestFit="1" customWidth="1"/>
    <col min="10" max="16384" width="9.140625" style="3"/>
  </cols>
  <sheetData>
    <row r="1" spans="1:6" s="28" customFormat="1" ht="58.5" customHeight="1" x14ac:dyDescent="0.35">
      <c r="A1" s="111" t="s">
        <v>201</v>
      </c>
      <c r="B1" s="111"/>
      <c r="C1" s="111"/>
      <c r="D1" s="111"/>
      <c r="E1" s="111"/>
      <c r="F1" s="111"/>
    </row>
    <row r="2" spans="1:6" s="21" customFormat="1" ht="35.25" customHeight="1" x14ac:dyDescent="0.3">
      <c r="A2" s="110" t="s">
        <v>166</v>
      </c>
      <c r="B2" s="110"/>
      <c r="C2" s="36"/>
    </row>
    <row r="3" spans="1:6" s="6" customFormat="1" ht="36" customHeight="1" x14ac:dyDescent="0.25">
      <c r="A3" s="4"/>
      <c r="B3" s="5"/>
      <c r="C3" s="35"/>
      <c r="D3" s="35"/>
      <c r="E3" s="35" t="s">
        <v>139</v>
      </c>
    </row>
    <row r="4" spans="1:6" s="72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ht="19.5" customHeight="1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s="10" customFormat="1" ht="63.75" customHeight="1" x14ac:dyDescent="0.4">
      <c r="A6" s="81">
        <v>1</v>
      </c>
      <c r="B6" s="82" t="s">
        <v>176</v>
      </c>
      <c r="C6" s="83">
        <f>C7+C8</f>
        <v>74746029</v>
      </c>
      <c r="D6" s="83">
        <f>D7+D8</f>
        <v>74746029</v>
      </c>
      <c r="E6" s="83" t="str">
        <f>IF(C6=D6,"-",D6-C6)</f>
        <v>-</v>
      </c>
      <c r="F6" s="84">
        <f>IF(C6=0,"-",D6/C6)</f>
        <v>1</v>
      </c>
    </row>
    <row r="7" spans="1:6" ht="30" customHeight="1" x14ac:dyDescent="0.2">
      <c r="A7" s="55" t="s">
        <v>76</v>
      </c>
      <c r="B7" s="24" t="s">
        <v>77</v>
      </c>
      <c r="C7" s="7">
        <f>IFERROR(VLOOKUP(A7,[4]NFZ!$A$7:$D$100,4,FALSE),0)</f>
        <v>71435346</v>
      </c>
      <c r="D7" s="7">
        <f>C7</f>
        <v>71435346</v>
      </c>
      <c r="E7" s="7" t="str">
        <f t="shared" ref="E7:E81" si="0">IF(C7=D7,"-",D7-C7)</f>
        <v>-</v>
      </c>
      <c r="F7" s="42">
        <f t="shared" ref="F7:F81" si="1">IF(C7=0,"-",D7/C7)</f>
        <v>1</v>
      </c>
    </row>
    <row r="8" spans="1:6" ht="30" customHeight="1" x14ac:dyDescent="0.2">
      <c r="A8" s="55" t="s">
        <v>78</v>
      </c>
      <c r="B8" s="24" t="s">
        <v>79</v>
      </c>
      <c r="C8" s="7">
        <f>IFERROR(VLOOKUP(A8,[4]NFZ!$A$7:$D$100,4,FALSE),0)</f>
        <v>3310683</v>
      </c>
      <c r="D8" s="7">
        <f>C8</f>
        <v>3310683</v>
      </c>
      <c r="E8" s="7" t="str">
        <f t="shared" si="0"/>
        <v>-</v>
      </c>
      <c r="F8" s="42">
        <f t="shared" si="1"/>
        <v>1</v>
      </c>
    </row>
    <row r="9" spans="1:6" s="10" customFormat="1" ht="38.25" customHeight="1" x14ac:dyDescent="0.4">
      <c r="A9" s="81">
        <v>2</v>
      </c>
      <c r="B9" s="82" t="s">
        <v>177</v>
      </c>
      <c r="C9" s="83">
        <f>C10+C11</f>
        <v>0</v>
      </c>
      <c r="D9" s="83">
        <f>D10+D11</f>
        <v>0</v>
      </c>
      <c r="E9" s="83" t="str">
        <f t="shared" si="0"/>
        <v>-</v>
      </c>
      <c r="F9" s="84" t="str">
        <f t="shared" si="1"/>
        <v>-</v>
      </c>
    </row>
    <row r="10" spans="1:6" ht="30" customHeight="1" x14ac:dyDescent="0.2">
      <c r="A10" s="55" t="s">
        <v>80</v>
      </c>
      <c r="B10" s="24" t="s">
        <v>81</v>
      </c>
      <c r="C10" s="7">
        <f>IFERROR(VLOOKUP(A10,[4]NFZ!$A$7:$D$100,4,FALSE),0)</f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</row>
    <row r="11" spans="1:6" ht="30" customHeight="1" x14ac:dyDescent="0.2">
      <c r="A11" s="55" t="s">
        <v>82</v>
      </c>
      <c r="B11" s="24" t="s">
        <v>83</v>
      </c>
      <c r="C11" s="7">
        <f>IFERROR(VLOOKUP(A11,[4]NFZ!$A$7:$D$100,4,FALSE),0)</f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</row>
    <row r="12" spans="1:6" s="10" customFormat="1" ht="39.75" customHeight="1" x14ac:dyDescent="0.4">
      <c r="A12" s="81">
        <v>3</v>
      </c>
      <c r="B12" s="82" t="s">
        <v>178</v>
      </c>
      <c r="C12" s="83">
        <f>C13+C14</f>
        <v>135000</v>
      </c>
      <c r="D12" s="83">
        <f>D13+D14</f>
        <v>135000</v>
      </c>
      <c r="E12" s="83" t="str">
        <f t="shared" si="0"/>
        <v>-</v>
      </c>
      <c r="F12" s="84">
        <f t="shared" si="1"/>
        <v>1</v>
      </c>
    </row>
    <row r="13" spans="1:6" ht="30" customHeight="1" x14ac:dyDescent="0.2">
      <c r="A13" s="55" t="s">
        <v>84</v>
      </c>
      <c r="B13" s="24" t="s">
        <v>77</v>
      </c>
      <c r="C13" s="7">
        <f>IFERROR(VLOOKUP(A13,[4]NFZ!$A$7:$D$100,4,FALSE),0)</f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</row>
    <row r="14" spans="1:6" ht="30" customHeight="1" x14ac:dyDescent="0.2">
      <c r="A14" s="55" t="s">
        <v>85</v>
      </c>
      <c r="B14" s="24" t="s">
        <v>79</v>
      </c>
      <c r="C14" s="7">
        <f>IFERROR(VLOOKUP(A14,[4]NFZ!$A$7:$D$100,4,FALSE),0)</f>
        <v>-15000</v>
      </c>
      <c r="D14" s="7">
        <f>C14</f>
        <v>-15000</v>
      </c>
      <c r="E14" s="7" t="str">
        <f t="shared" si="0"/>
        <v>-</v>
      </c>
      <c r="F14" s="42">
        <f t="shared" si="1"/>
        <v>1</v>
      </c>
    </row>
    <row r="15" spans="1:6" s="10" customFormat="1" ht="39" customHeight="1" x14ac:dyDescent="0.4">
      <c r="A15" s="81">
        <v>4</v>
      </c>
      <c r="B15" s="82" t="s">
        <v>179</v>
      </c>
      <c r="C15" s="83">
        <f>C16+C17</f>
        <v>145768</v>
      </c>
      <c r="D15" s="83">
        <f>D16+D17</f>
        <v>145768</v>
      </c>
      <c r="E15" s="83" t="str">
        <f t="shared" si="0"/>
        <v>-</v>
      </c>
      <c r="F15" s="84">
        <f t="shared" si="1"/>
        <v>1</v>
      </c>
    </row>
    <row r="16" spans="1:6" ht="30" customHeight="1" x14ac:dyDescent="0.2">
      <c r="A16" s="56" t="s">
        <v>86</v>
      </c>
      <c r="B16" s="24" t="s">
        <v>87</v>
      </c>
      <c r="C16" s="7">
        <f>IFERROR(VLOOKUP(A16,[4]NFZ!$A$7:$D$100,4,FALSE),0)</f>
        <v>142871</v>
      </c>
      <c r="D16" s="7">
        <f>C16</f>
        <v>142871</v>
      </c>
      <c r="E16" s="7" t="str">
        <f t="shared" si="0"/>
        <v>-</v>
      </c>
      <c r="F16" s="42">
        <f t="shared" si="1"/>
        <v>1</v>
      </c>
    </row>
    <row r="17" spans="1:6" ht="30" customHeight="1" x14ac:dyDescent="0.2">
      <c r="A17" s="56" t="s">
        <v>88</v>
      </c>
      <c r="B17" s="24" t="s">
        <v>89</v>
      </c>
      <c r="C17" s="7">
        <f>IFERROR(VLOOKUP(A17,[4]NFZ!$A$7:$D$100,4,FALSE),0)</f>
        <v>2897</v>
      </c>
      <c r="D17" s="7">
        <f>C17</f>
        <v>2897</v>
      </c>
      <c r="E17" s="7" t="str">
        <f t="shared" si="0"/>
        <v>-</v>
      </c>
      <c r="F17" s="42">
        <f t="shared" si="1"/>
        <v>1</v>
      </c>
    </row>
    <row r="18" spans="1:6" s="10" customFormat="1" ht="39" customHeight="1" x14ac:dyDescent="0.4">
      <c r="A18" s="81">
        <v>5</v>
      </c>
      <c r="B18" s="82" t="s">
        <v>173</v>
      </c>
      <c r="C18" s="83">
        <f>IFERROR(VLOOKUP(A18,[4]NFZ!$A$7:$D$100,4,FALSE),0)</f>
        <v>43848</v>
      </c>
      <c r="D18" s="83">
        <f>C18</f>
        <v>43848</v>
      </c>
      <c r="E18" s="83" t="str">
        <f t="shared" si="0"/>
        <v>-</v>
      </c>
      <c r="F18" s="84">
        <f t="shared" si="1"/>
        <v>1</v>
      </c>
    </row>
    <row r="19" spans="1:6" s="10" customFormat="1" ht="63.75" customHeight="1" x14ac:dyDescent="0.4">
      <c r="A19" s="85" t="s">
        <v>128</v>
      </c>
      <c r="B19" s="86" t="s">
        <v>172</v>
      </c>
      <c r="C19" s="83">
        <f>(C6-C9+C12-C15-C18)+C20+C21+C22+C23</f>
        <v>78150772</v>
      </c>
      <c r="D19" s="83">
        <f>(D6-D9+D12-D15-D18)+D20+D21+D22+D23</f>
        <v>78150772</v>
      </c>
      <c r="E19" s="83" t="str">
        <f t="shared" si="0"/>
        <v>-</v>
      </c>
      <c r="F19" s="84">
        <f t="shared" si="1"/>
        <v>1</v>
      </c>
    </row>
    <row r="20" spans="1:6" ht="31.5" customHeight="1" x14ac:dyDescent="0.2">
      <c r="A20" s="55" t="s">
        <v>90</v>
      </c>
      <c r="B20" s="25" t="s">
        <v>91</v>
      </c>
      <c r="C20" s="7">
        <f>IFERROR(VLOOKUP(A20,[4]NFZ!$A$7:$D$100,4,FALSE),0)</f>
        <v>199555</v>
      </c>
      <c r="D20" s="7">
        <f>C20</f>
        <v>199555</v>
      </c>
      <c r="E20" s="7" t="str">
        <f t="shared" si="0"/>
        <v>-</v>
      </c>
      <c r="F20" s="42">
        <f t="shared" si="1"/>
        <v>1</v>
      </c>
    </row>
    <row r="21" spans="1:6" ht="31.5" customHeight="1" x14ac:dyDescent="0.2">
      <c r="A21" s="55" t="s">
        <v>92</v>
      </c>
      <c r="B21" s="25" t="s">
        <v>93</v>
      </c>
      <c r="C21" s="7">
        <f>IFERROR(VLOOKUP(A21,[4]NFZ!$A$7:$D$100,4,FALSE),0)</f>
        <v>2804</v>
      </c>
      <c r="D21" s="7">
        <f>C21</f>
        <v>2804</v>
      </c>
      <c r="E21" s="7" t="str">
        <f t="shared" si="0"/>
        <v>-</v>
      </c>
      <c r="F21" s="42">
        <f t="shared" si="1"/>
        <v>1</v>
      </c>
    </row>
    <row r="22" spans="1:6" ht="50.25" customHeight="1" x14ac:dyDescent="0.2">
      <c r="A22" s="55" t="s">
        <v>94</v>
      </c>
      <c r="B22" s="25" t="s">
        <v>199</v>
      </c>
      <c r="C22" s="7">
        <f>IFERROR(VLOOKUP(A22,[4]NFZ!$A$7:$D$100,4,FALSE),0)</f>
        <v>1333558</v>
      </c>
      <c r="D22" s="7">
        <f>C22</f>
        <v>1333558</v>
      </c>
      <c r="E22" s="7" t="str">
        <f t="shared" si="0"/>
        <v>-</v>
      </c>
      <c r="F22" s="42">
        <f t="shared" si="1"/>
        <v>1</v>
      </c>
    </row>
    <row r="23" spans="1:6" ht="31.5" customHeight="1" x14ac:dyDescent="0.2">
      <c r="A23" s="55" t="s">
        <v>95</v>
      </c>
      <c r="B23" s="26" t="s">
        <v>96</v>
      </c>
      <c r="C23" s="7">
        <f>IFERROR(VLOOKUP(A23,[4]NFZ!$A$7:$D$100,4,FALSE),0)</f>
        <v>1923442</v>
      </c>
      <c r="D23" s="7">
        <f>C23</f>
        <v>1923442</v>
      </c>
      <c r="E23" s="7" t="str">
        <f t="shared" si="0"/>
        <v>-</v>
      </c>
      <c r="F23" s="42">
        <f t="shared" si="1"/>
        <v>1</v>
      </c>
    </row>
    <row r="24" spans="1:6" s="10" customFormat="1" ht="36" customHeight="1" x14ac:dyDescent="0.4">
      <c r="A24" s="85" t="s">
        <v>129</v>
      </c>
      <c r="B24" s="86" t="s">
        <v>194</v>
      </c>
      <c r="C24" s="83">
        <f>C25+C26+C55+C56+C57</f>
        <v>78890014</v>
      </c>
      <c r="D24" s="83">
        <f>D25+D26+D55+D56+D57</f>
        <v>79149572</v>
      </c>
      <c r="E24" s="83">
        <f t="shared" si="0"/>
        <v>259558</v>
      </c>
      <c r="F24" s="84">
        <f t="shared" si="1"/>
        <v>1.0033000000000001</v>
      </c>
    </row>
    <row r="25" spans="1:6" s="10" customFormat="1" ht="36" customHeight="1" x14ac:dyDescent="0.4">
      <c r="A25" s="85" t="s">
        <v>97</v>
      </c>
      <c r="B25" s="86" t="s">
        <v>98</v>
      </c>
      <c r="C25" s="83">
        <f>IFERROR(VLOOKUP(A25,[4]NFZ!$A$7:$D$100,4,FALSE),0)</f>
        <v>0</v>
      </c>
      <c r="D25" s="83">
        <f>C25</f>
        <v>0</v>
      </c>
      <c r="E25" s="83" t="str">
        <f t="shared" si="0"/>
        <v>-</v>
      </c>
      <c r="F25" s="84" t="str">
        <f t="shared" si="1"/>
        <v>-</v>
      </c>
    </row>
    <row r="26" spans="1:6" s="10" customFormat="1" ht="36" customHeight="1" x14ac:dyDescent="0.4">
      <c r="A26" s="85" t="s">
        <v>0</v>
      </c>
      <c r="B26" s="86" t="s">
        <v>200</v>
      </c>
      <c r="C26" s="87">
        <f>C27+C28+C29+C34+C35+C36+C37+C38+C39+C40+C41+C42+C43+C44+C48+C49+C51+C52+C53+C54</f>
        <v>76399468</v>
      </c>
      <c r="D26" s="87">
        <f>D27+D28+D29+D34+D35+D36+D37+D38+D39+D40+D41+D42+D43+D44+D48+D49+D51+D52+D53+D54</f>
        <v>76659026</v>
      </c>
      <c r="E26" s="88">
        <f>IF(C26=D26,"-",D26-C26)</f>
        <v>259558</v>
      </c>
      <c r="F26" s="89">
        <f t="shared" si="1"/>
        <v>1.0034000000000001</v>
      </c>
    </row>
    <row r="27" spans="1:6" ht="30" customHeight="1" x14ac:dyDescent="0.2">
      <c r="A27" s="57" t="s">
        <v>1</v>
      </c>
      <c r="B27" s="58" t="s">
        <v>117</v>
      </c>
      <c r="C27" s="7">
        <f>CENTRALA!C7+'Razem OW'!C7</f>
        <v>10170509</v>
      </c>
      <c r="D27" s="7">
        <f>CENTRALA!D7+'Razem OW'!D7</f>
        <v>10170509</v>
      </c>
      <c r="E27" s="7" t="str">
        <f t="shared" si="0"/>
        <v>-</v>
      </c>
      <c r="F27" s="42">
        <f t="shared" si="1"/>
        <v>1</v>
      </c>
    </row>
    <row r="28" spans="1:6" ht="30" customHeight="1" x14ac:dyDescent="0.2">
      <c r="A28" s="57" t="s">
        <v>2</v>
      </c>
      <c r="B28" s="58" t="s">
        <v>118</v>
      </c>
      <c r="C28" s="7">
        <f>CENTRALA!C8+'Razem OW'!C8</f>
        <v>5636323</v>
      </c>
      <c r="D28" s="7">
        <f>CENTRALA!D8+'Razem OW'!D8</f>
        <v>5636323</v>
      </c>
      <c r="E28" s="7" t="str">
        <f>IF(C28=D28,"-",D28-C28)</f>
        <v>-</v>
      </c>
      <c r="F28" s="42">
        <f t="shared" si="1"/>
        <v>1</v>
      </c>
    </row>
    <row r="29" spans="1:6" ht="30" customHeight="1" x14ac:dyDescent="0.2">
      <c r="A29" s="57" t="s">
        <v>3</v>
      </c>
      <c r="B29" s="58" t="s">
        <v>115</v>
      </c>
      <c r="C29" s="7">
        <f>CENTRALA!C9+'Razem OW'!C9</f>
        <v>38480221</v>
      </c>
      <c r="D29" s="7">
        <f>CENTRALA!D9+'Razem OW'!D9</f>
        <v>38739779</v>
      </c>
      <c r="E29" s="7">
        <f t="shared" si="0"/>
        <v>259558</v>
      </c>
      <c r="F29" s="42">
        <f t="shared" si="1"/>
        <v>1.0066999999999999</v>
      </c>
    </row>
    <row r="30" spans="1:6" ht="30" customHeight="1" x14ac:dyDescent="0.2">
      <c r="A30" s="59" t="s">
        <v>55</v>
      </c>
      <c r="B30" s="60" t="s">
        <v>140</v>
      </c>
      <c r="C30" s="7">
        <f>CENTRALA!C10+'Razem OW'!C10</f>
        <v>3624798</v>
      </c>
      <c r="D30" s="7">
        <f>CENTRALA!D10+'Razem OW'!D10</f>
        <v>3624798</v>
      </c>
      <c r="E30" s="7" t="str">
        <f t="shared" si="0"/>
        <v>-</v>
      </c>
      <c r="F30" s="42">
        <f t="shared" si="1"/>
        <v>1</v>
      </c>
    </row>
    <row r="31" spans="1:6" ht="30" customHeight="1" x14ac:dyDescent="0.2">
      <c r="A31" s="59" t="s">
        <v>141</v>
      </c>
      <c r="B31" s="60" t="s">
        <v>144</v>
      </c>
      <c r="C31" s="7">
        <f>CENTRALA!C11+'Razem OW'!C11</f>
        <v>3294212</v>
      </c>
      <c r="D31" s="7">
        <f>CENTRALA!D11+'Razem OW'!D11</f>
        <v>3294212</v>
      </c>
      <c r="E31" s="7" t="str">
        <f t="shared" si="0"/>
        <v>-</v>
      </c>
      <c r="F31" s="42">
        <f t="shared" si="1"/>
        <v>1</v>
      </c>
    </row>
    <row r="32" spans="1:6" ht="30" customHeight="1" x14ac:dyDescent="0.2">
      <c r="A32" s="59" t="s">
        <v>142</v>
      </c>
      <c r="B32" s="60" t="s">
        <v>145</v>
      </c>
      <c r="C32" s="7">
        <f>CENTRALA!C12+'Razem OW'!C12</f>
        <v>1438758</v>
      </c>
      <c r="D32" s="7">
        <f>CENTRALA!D12+'Razem OW'!D12</f>
        <v>1438758</v>
      </c>
      <c r="E32" s="7" t="str">
        <f t="shared" si="0"/>
        <v>-</v>
      </c>
      <c r="F32" s="42">
        <f t="shared" si="1"/>
        <v>1</v>
      </c>
    </row>
    <row r="33" spans="1:6" ht="30" customHeight="1" x14ac:dyDescent="0.2">
      <c r="A33" s="59" t="s">
        <v>143</v>
      </c>
      <c r="B33" s="60" t="s">
        <v>146</v>
      </c>
      <c r="C33" s="7">
        <f>CENTRALA!C13+'Razem OW'!C13</f>
        <v>675753</v>
      </c>
      <c r="D33" s="7">
        <f>CENTRALA!D13+'Razem OW'!D13</f>
        <v>675753</v>
      </c>
      <c r="E33" s="7" t="str">
        <f t="shared" si="0"/>
        <v>-</v>
      </c>
      <c r="F33" s="42">
        <f t="shared" si="1"/>
        <v>1</v>
      </c>
    </row>
    <row r="34" spans="1:6" ht="30" customHeight="1" x14ac:dyDescent="0.2">
      <c r="A34" s="57" t="s">
        <v>4</v>
      </c>
      <c r="B34" s="58" t="s">
        <v>123</v>
      </c>
      <c r="C34" s="7">
        <f>CENTRALA!C14+'Razem OW'!C14</f>
        <v>2685552</v>
      </c>
      <c r="D34" s="7">
        <f>CENTRALA!D14+'Razem OW'!D14</f>
        <v>2685552</v>
      </c>
      <c r="E34" s="7" t="str">
        <f t="shared" si="0"/>
        <v>-</v>
      </c>
      <c r="F34" s="42">
        <f t="shared" si="1"/>
        <v>1</v>
      </c>
    </row>
    <row r="35" spans="1:6" ht="30" customHeight="1" x14ac:dyDescent="0.2">
      <c r="A35" s="57" t="s">
        <v>5</v>
      </c>
      <c r="B35" s="58" t="s">
        <v>119</v>
      </c>
      <c r="C35" s="7">
        <f>CENTRALA!C15+'Razem OW'!C15</f>
        <v>2319811</v>
      </c>
      <c r="D35" s="7">
        <f>CENTRALA!D15+'Razem OW'!D15</f>
        <v>2319811</v>
      </c>
      <c r="E35" s="7" t="str">
        <f t="shared" si="0"/>
        <v>-</v>
      </c>
      <c r="F35" s="42">
        <f t="shared" si="1"/>
        <v>1</v>
      </c>
    </row>
    <row r="36" spans="1:6" ht="30" customHeight="1" x14ac:dyDescent="0.2">
      <c r="A36" s="57" t="s">
        <v>6</v>
      </c>
      <c r="B36" s="58" t="s">
        <v>125</v>
      </c>
      <c r="C36" s="7">
        <f>CENTRALA!C16+'Razem OW'!C16</f>
        <v>1437581</v>
      </c>
      <c r="D36" s="7">
        <f>CENTRALA!D16+'Razem OW'!D16</f>
        <v>1437581</v>
      </c>
      <c r="E36" s="7" t="str">
        <f t="shared" si="0"/>
        <v>-</v>
      </c>
      <c r="F36" s="42">
        <f t="shared" si="1"/>
        <v>1</v>
      </c>
    </row>
    <row r="37" spans="1:6" ht="30" customHeight="1" x14ac:dyDescent="0.2">
      <c r="A37" s="57" t="s">
        <v>7</v>
      </c>
      <c r="B37" s="58" t="s">
        <v>124</v>
      </c>
      <c r="C37" s="7">
        <f>CENTRALA!C17+'Razem OW'!C17</f>
        <v>663523</v>
      </c>
      <c r="D37" s="7">
        <f>CENTRALA!D17+'Razem OW'!D17</f>
        <v>663523</v>
      </c>
      <c r="E37" s="7" t="str">
        <f>IF(C37=D37,"-",D37-C37)</f>
        <v>-</v>
      </c>
      <c r="F37" s="42">
        <f>IF(C37=0,"-",D37/C37)</f>
        <v>1</v>
      </c>
    </row>
    <row r="38" spans="1:6" ht="30" customHeight="1" x14ac:dyDescent="0.2">
      <c r="A38" s="57" t="s">
        <v>8</v>
      </c>
      <c r="B38" s="58" t="s">
        <v>120</v>
      </c>
      <c r="C38" s="7">
        <f>CENTRALA!C18+'Razem OW'!C18</f>
        <v>1834124</v>
      </c>
      <c r="D38" s="7">
        <f>CENTRALA!D18+'Razem OW'!D18</f>
        <v>1834124</v>
      </c>
      <c r="E38" s="7" t="str">
        <f t="shared" si="0"/>
        <v>-</v>
      </c>
      <c r="F38" s="42">
        <f t="shared" si="1"/>
        <v>1</v>
      </c>
    </row>
    <row r="39" spans="1:6" ht="30" customHeight="1" x14ac:dyDescent="0.2">
      <c r="A39" s="57" t="s">
        <v>9</v>
      </c>
      <c r="B39" s="58" t="s">
        <v>121</v>
      </c>
      <c r="C39" s="7">
        <f>CENTRALA!C19+'Razem OW'!C19</f>
        <v>660225</v>
      </c>
      <c r="D39" s="7">
        <f>CENTRALA!D19+'Razem OW'!D19</f>
        <v>660225</v>
      </c>
      <c r="E39" s="7" t="str">
        <f t="shared" si="0"/>
        <v>-</v>
      </c>
      <c r="F39" s="42">
        <f t="shared" si="1"/>
        <v>1</v>
      </c>
    </row>
    <row r="40" spans="1:6" ht="30" customHeight="1" x14ac:dyDescent="0.2">
      <c r="A40" s="57" t="s">
        <v>10</v>
      </c>
      <c r="B40" s="58" t="s">
        <v>126</v>
      </c>
      <c r="C40" s="7">
        <f>CENTRALA!C20+'Razem OW'!C20</f>
        <v>49282</v>
      </c>
      <c r="D40" s="7">
        <f>CENTRALA!D20+'Razem OW'!D20</f>
        <v>49282</v>
      </c>
      <c r="E40" s="7" t="str">
        <f t="shared" si="0"/>
        <v>-</v>
      </c>
      <c r="F40" s="42">
        <f t="shared" si="1"/>
        <v>1</v>
      </c>
    </row>
    <row r="41" spans="1:6" ht="40.5" x14ac:dyDescent="0.2">
      <c r="A41" s="57" t="s">
        <v>11</v>
      </c>
      <c r="B41" s="58" t="s">
        <v>122</v>
      </c>
      <c r="C41" s="7">
        <f>CENTRALA!C21+'Razem OW'!C21</f>
        <v>196199</v>
      </c>
      <c r="D41" s="7">
        <f>CENTRALA!D21+'Razem OW'!D21</f>
        <v>196199</v>
      </c>
      <c r="E41" s="7" t="str">
        <f t="shared" si="0"/>
        <v>-</v>
      </c>
      <c r="F41" s="42">
        <f t="shared" si="1"/>
        <v>1</v>
      </c>
    </row>
    <row r="42" spans="1:6" ht="30" customHeight="1" x14ac:dyDescent="0.2">
      <c r="A42" s="57" t="s">
        <v>12</v>
      </c>
      <c r="B42" s="58" t="s">
        <v>163</v>
      </c>
      <c r="C42" s="7">
        <f>CENTRALA!C22+'Razem OW'!C22</f>
        <v>2098096</v>
      </c>
      <c r="D42" s="7">
        <f>CENTRALA!D22+'Razem OW'!D22</f>
        <v>2098096</v>
      </c>
      <c r="E42" s="7" t="str">
        <f t="shared" si="0"/>
        <v>-</v>
      </c>
      <c r="F42" s="42">
        <f t="shared" si="1"/>
        <v>1</v>
      </c>
    </row>
    <row r="43" spans="1:6" ht="40.5" x14ac:dyDescent="0.2">
      <c r="A43" s="57" t="s">
        <v>13</v>
      </c>
      <c r="B43" s="58" t="s">
        <v>147</v>
      </c>
      <c r="C43" s="7">
        <f>CENTRALA!C23+'Razem OW'!C23</f>
        <v>1029387</v>
      </c>
      <c r="D43" s="7">
        <f>CENTRALA!D23+'Razem OW'!D23</f>
        <v>1029387</v>
      </c>
      <c r="E43" s="7" t="str">
        <f t="shared" si="0"/>
        <v>-</v>
      </c>
      <c r="F43" s="42">
        <f t="shared" si="1"/>
        <v>1</v>
      </c>
    </row>
    <row r="44" spans="1:6" ht="30" customHeight="1" x14ac:dyDescent="0.2">
      <c r="A44" s="61" t="s">
        <v>14</v>
      </c>
      <c r="B44" s="62" t="s">
        <v>180</v>
      </c>
      <c r="C44" s="7">
        <f>CENTRALA!C24+'Razem OW'!C24</f>
        <v>8286218</v>
      </c>
      <c r="D44" s="7">
        <f>CENTRALA!D24+'Razem OW'!D24</f>
        <v>8286218</v>
      </c>
      <c r="E44" s="7" t="str">
        <f t="shared" si="0"/>
        <v>-</v>
      </c>
      <c r="F44" s="42">
        <f t="shared" si="1"/>
        <v>1</v>
      </c>
    </row>
    <row r="45" spans="1:6" ht="41.25" customHeight="1" x14ac:dyDescent="0.2">
      <c r="A45" s="59" t="s">
        <v>127</v>
      </c>
      <c r="B45" s="60" t="s">
        <v>149</v>
      </c>
      <c r="C45" s="7">
        <f>CENTRALA!C25+'Razem OW'!C25</f>
        <v>8251475</v>
      </c>
      <c r="D45" s="7">
        <f>CENTRALA!D25+'Razem OW'!D25</f>
        <v>8251475</v>
      </c>
      <c r="E45" s="7" t="str">
        <f t="shared" si="0"/>
        <v>-</v>
      </c>
      <c r="F45" s="42">
        <f t="shared" si="1"/>
        <v>1</v>
      </c>
    </row>
    <row r="46" spans="1:6" ht="30" customHeight="1" x14ac:dyDescent="0.2">
      <c r="A46" s="59" t="s">
        <v>148</v>
      </c>
      <c r="B46" s="60" t="s">
        <v>151</v>
      </c>
      <c r="C46" s="7">
        <f>CENTRALA!C26+'Razem OW'!C26</f>
        <v>20477</v>
      </c>
      <c r="D46" s="7">
        <f>CENTRALA!D26+'Razem OW'!D26</f>
        <v>20477</v>
      </c>
      <c r="E46" s="7" t="str">
        <f t="shared" si="0"/>
        <v>-</v>
      </c>
      <c r="F46" s="42">
        <f t="shared" si="1"/>
        <v>1</v>
      </c>
    </row>
    <row r="47" spans="1:6" ht="41.25" customHeight="1" x14ac:dyDescent="0.2">
      <c r="A47" s="59" t="s">
        <v>152</v>
      </c>
      <c r="B47" s="60" t="s">
        <v>150</v>
      </c>
      <c r="C47" s="7">
        <f>CENTRALA!C27+'Razem OW'!C27</f>
        <v>14266</v>
      </c>
      <c r="D47" s="7">
        <f>CENTRALA!D27+'Razem OW'!D27</f>
        <v>14266</v>
      </c>
      <c r="E47" s="7" t="str">
        <f t="shared" si="0"/>
        <v>-</v>
      </c>
      <c r="F47" s="42">
        <f t="shared" si="1"/>
        <v>1</v>
      </c>
    </row>
    <row r="48" spans="1:6" ht="31.5" customHeight="1" x14ac:dyDescent="0.2">
      <c r="A48" s="52" t="s">
        <v>15</v>
      </c>
      <c r="B48" s="63" t="s">
        <v>111</v>
      </c>
      <c r="C48" s="7">
        <f>CENTRALA!C28+'Razem OW'!C28</f>
        <v>545092</v>
      </c>
      <c r="D48" s="7">
        <f>CENTRALA!D28+'Razem OW'!D28</f>
        <v>545092</v>
      </c>
      <c r="E48" s="7" t="str">
        <f t="shared" si="0"/>
        <v>-</v>
      </c>
      <c r="F48" s="42">
        <f t="shared" si="1"/>
        <v>1</v>
      </c>
    </row>
    <row r="49" spans="1:6" ht="31.5" customHeight="1" x14ac:dyDescent="0.2">
      <c r="A49" s="52" t="s">
        <v>108</v>
      </c>
      <c r="B49" s="24" t="s">
        <v>153</v>
      </c>
      <c r="C49" s="7">
        <f>CENTRALA!C29+'Razem OW'!C29</f>
        <v>0</v>
      </c>
      <c r="D49" s="7">
        <f>CENTRALA!D29+'Razem OW'!D29</f>
        <v>0</v>
      </c>
      <c r="E49" s="7" t="str">
        <f t="shared" si="0"/>
        <v>-</v>
      </c>
      <c r="F49" s="42" t="str">
        <f t="shared" si="1"/>
        <v>-</v>
      </c>
    </row>
    <row r="50" spans="1:6" ht="30" customHeight="1" x14ac:dyDescent="0.2">
      <c r="A50" s="59" t="s">
        <v>154</v>
      </c>
      <c r="B50" s="60" t="s">
        <v>165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</row>
    <row r="51" spans="1:6" ht="30" customHeight="1" x14ac:dyDescent="0.2">
      <c r="A51" s="52" t="s">
        <v>109</v>
      </c>
      <c r="B51" s="24" t="s">
        <v>112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</row>
    <row r="52" spans="1:6" ht="30" customHeight="1" x14ac:dyDescent="0.2">
      <c r="A52" s="52" t="s">
        <v>110</v>
      </c>
      <c r="B52" s="24" t="s">
        <v>164</v>
      </c>
      <c r="C52" s="7">
        <f>CENTRALA!C32+'Razem OW'!C32</f>
        <v>221495</v>
      </c>
      <c r="D52" s="7">
        <f>CENTRALA!D32+'Razem OW'!D32</f>
        <v>221495</v>
      </c>
      <c r="E52" s="7" t="str">
        <f t="shared" si="0"/>
        <v>-</v>
      </c>
      <c r="F52" s="42">
        <f t="shared" si="1"/>
        <v>1</v>
      </c>
    </row>
    <row r="53" spans="1:6" ht="40.5" x14ac:dyDescent="0.2">
      <c r="A53" s="52" t="s">
        <v>181</v>
      </c>
      <c r="B53" s="24" t="s">
        <v>182</v>
      </c>
      <c r="C53" s="7">
        <f>CENTRALA!C33+'Razem OW'!C33</f>
        <v>50000</v>
      </c>
      <c r="D53" s="7">
        <f>CENTRALA!D33+'Razem OW'!D33</f>
        <v>50000</v>
      </c>
      <c r="E53" s="7" t="str">
        <f>IF(C53=D53,"-",D53-C53)</f>
        <v>-</v>
      </c>
      <c r="F53" s="42">
        <f>IF(C53=0,"-",D53/C53)</f>
        <v>1</v>
      </c>
    </row>
    <row r="54" spans="1:6" ht="30" customHeight="1" x14ac:dyDescent="0.2">
      <c r="A54" s="52" t="s">
        <v>190</v>
      </c>
      <c r="B54" s="24" t="s">
        <v>191</v>
      </c>
      <c r="C54" s="7">
        <f>CENTRALA!C34+'Razem OW'!C34</f>
        <v>35830</v>
      </c>
      <c r="D54" s="7">
        <f>CENTRALA!D34+'Razem OW'!D34</f>
        <v>35830</v>
      </c>
      <c r="E54" s="7" t="str">
        <f>IF(C54=D54,"-",D54-C54)</f>
        <v>-</v>
      </c>
      <c r="F54" s="42">
        <f>IF(C54=0,"-",D54/C54)</f>
        <v>1</v>
      </c>
    </row>
    <row r="55" spans="1:6" s="10" customFormat="1" ht="30.75" customHeight="1" x14ac:dyDescent="0.4">
      <c r="A55" s="90" t="s">
        <v>57</v>
      </c>
      <c r="B55" s="91" t="s">
        <v>99</v>
      </c>
      <c r="C55" s="92">
        <f>CENTRALA!C35+'Razem OW'!C35</f>
        <v>2804</v>
      </c>
      <c r="D55" s="92">
        <f>C55</f>
        <v>2804</v>
      </c>
      <c r="E55" s="92" t="str">
        <f t="shared" si="0"/>
        <v>-</v>
      </c>
      <c r="F55" s="93">
        <f t="shared" si="1"/>
        <v>1</v>
      </c>
    </row>
    <row r="56" spans="1:6" s="10" customFormat="1" ht="30.75" customHeight="1" x14ac:dyDescent="0.4">
      <c r="A56" s="94" t="s">
        <v>56</v>
      </c>
      <c r="B56" s="91" t="s">
        <v>59</v>
      </c>
      <c r="C56" s="83">
        <f>CENTRALA!C36+'Razem OW'!C36</f>
        <v>1923442</v>
      </c>
      <c r="D56" s="83">
        <f>CENTRALA!D36+'Razem OW'!D36</f>
        <v>1923442</v>
      </c>
      <c r="E56" s="83" t="str">
        <f t="shared" si="0"/>
        <v>-</v>
      </c>
      <c r="F56" s="84">
        <f t="shared" si="1"/>
        <v>1</v>
      </c>
    </row>
    <row r="57" spans="1:6" s="10" customFormat="1" ht="60.75" x14ac:dyDescent="0.4">
      <c r="A57" s="94" t="s">
        <v>192</v>
      </c>
      <c r="B57" s="91" t="s">
        <v>193</v>
      </c>
      <c r="C57" s="83">
        <f>CENTRALA!C37+'Razem OW'!C37</f>
        <v>564300</v>
      </c>
      <c r="D57" s="83">
        <f>CENTRALA!D37+'Razem OW'!D37</f>
        <v>564300</v>
      </c>
      <c r="E57" s="83" t="str">
        <f t="shared" si="0"/>
        <v>-</v>
      </c>
      <c r="F57" s="84">
        <f t="shared" si="1"/>
        <v>1</v>
      </c>
    </row>
    <row r="58" spans="1:6" s="10" customFormat="1" ht="45.75" customHeight="1" x14ac:dyDescent="0.4">
      <c r="A58" s="94" t="s">
        <v>155</v>
      </c>
      <c r="B58" s="91" t="s">
        <v>156</v>
      </c>
      <c r="C58" s="83">
        <f>CENTRALA!C38+'Razem OW'!C38</f>
        <v>12256183</v>
      </c>
      <c r="D58" s="83">
        <f>CENTRALA!D38+'Razem OW'!D38</f>
        <v>12256183</v>
      </c>
      <c r="E58" s="83" t="str">
        <f>IF(C58=D58,"-",D58-C58)</f>
        <v>-</v>
      </c>
      <c r="F58" s="84">
        <f t="shared" si="1"/>
        <v>1</v>
      </c>
    </row>
    <row r="59" spans="1:6" s="10" customFormat="1" ht="33" customHeight="1" x14ac:dyDescent="0.4">
      <c r="A59" s="81" t="s">
        <v>130</v>
      </c>
      <c r="B59" s="82" t="s">
        <v>196</v>
      </c>
      <c r="C59" s="83">
        <f>C19-C24</f>
        <v>-739242</v>
      </c>
      <c r="D59" s="83">
        <f>D19-D24</f>
        <v>-998800</v>
      </c>
      <c r="E59" s="83">
        <f t="shared" si="0"/>
        <v>-259558</v>
      </c>
      <c r="F59" s="84">
        <f t="shared" si="1"/>
        <v>1.3511</v>
      </c>
    </row>
    <row r="60" spans="1:6" s="10" customFormat="1" ht="33" customHeight="1" x14ac:dyDescent="0.4">
      <c r="A60" s="81" t="s">
        <v>131</v>
      </c>
      <c r="B60" s="82" t="s">
        <v>183</v>
      </c>
      <c r="C60" s="83">
        <f>C61+C62+C63+C71+C73+C78+C79+C80</f>
        <v>753162</v>
      </c>
      <c r="D60" s="83">
        <f>D61+D62+D63+D71+D73+D78+D79+D80</f>
        <v>753162</v>
      </c>
      <c r="E60" s="83" t="str">
        <f t="shared" si="0"/>
        <v>-</v>
      </c>
      <c r="F60" s="84">
        <f t="shared" si="1"/>
        <v>1</v>
      </c>
    </row>
    <row r="61" spans="1:6" ht="30" customHeight="1" x14ac:dyDescent="0.2">
      <c r="A61" s="52" t="s">
        <v>17</v>
      </c>
      <c r="B61" s="23" t="s">
        <v>18</v>
      </c>
      <c r="C61" s="7">
        <f>CENTRALA!C40+'Razem OW'!C40</f>
        <v>25837</v>
      </c>
      <c r="D61" s="7">
        <f>CENTRALA!D40+'Razem OW'!D40</f>
        <v>25837</v>
      </c>
      <c r="E61" s="7" t="str">
        <f t="shared" si="0"/>
        <v>-</v>
      </c>
      <c r="F61" s="42">
        <f t="shared" si="1"/>
        <v>1</v>
      </c>
    </row>
    <row r="62" spans="1:6" ht="30" customHeight="1" x14ac:dyDescent="0.2">
      <c r="A62" s="52" t="s">
        <v>19</v>
      </c>
      <c r="B62" s="23" t="s">
        <v>20</v>
      </c>
      <c r="C62" s="7">
        <f>CENTRALA!C41+'Razem OW'!C41</f>
        <v>185633</v>
      </c>
      <c r="D62" s="7">
        <f>CENTRALA!D41+'Razem OW'!D41</f>
        <v>185633</v>
      </c>
      <c r="E62" s="7" t="str">
        <f t="shared" si="0"/>
        <v>-</v>
      </c>
      <c r="F62" s="42">
        <f t="shared" si="1"/>
        <v>1</v>
      </c>
    </row>
    <row r="63" spans="1:6" ht="30" customHeight="1" x14ac:dyDescent="0.2">
      <c r="A63" s="52" t="s">
        <v>21</v>
      </c>
      <c r="B63" s="27" t="s">
        <v>184</v>
      </c>
      <c r="C63" s="7">
        <f>C64+C66+C67+C68+C69+C70</f>
        <v>4682</v>
      </c>
      <c r="D63" s="7">
        <f>D64+D66+D67+D68+D69+D70</f>
        <v>4682</v>
      </c>
      <c r="E63" s="7" t="str">
        <f t="shared" si="0"/>
        <v>-</v>
      </c>
      <c r="F63" s="42">
        <f t="shared" si="1"/>
        <v>1</v>
      </c>
    </row>
    <row r="64" spans="1:6" s="8" customFormat="1" ht="30" customHeight="1" x14ac:dyDescent="0.2">
      <c r="A64" s="64" t="s">
        <v>38</v>
      </c>
      <c r="B64" s="65" t="s">
        <v>31</v>
      </c>
      <c r="C64" s="7">
        <f>CENTRALA!C43+'Razem OW'!C43</f>
        <v>614</v>
      </c>
      <c r="D64" s="7">
        <f>CENTRALA!D43+'Razem OW'!D43</f>
        <v>614</v>
      </c>
      <c r="E64" s="7" t="str">
        <f t="shared" si="0"/>
        <v>-</v>
      </c>
      <c r="F64" s="42">
        <f t="shared" si="1"/>
        <v>1</v>
      </c>
    </row>
    <row r="65" spans="1:6" s="8" customFormat="1" ht="30" customHeight="1" x14ac:dyDescent="0.2">
      <c r="A65" s="64" t="s">
        <v>39</v>
      </c>
      <c r="B65" s="66" t="s">
        <v>32</v>
      </c>
      <c r="C65" s="7">
        <f>CENTRALA!C44+'Razem OW'!C44</f>
        <v>611</v>
      </c>
      <c r="D65" s="7">
        <f>CENTRALA!D44+'Razem OW'!D44</f>
        <v>611</v>
      </c>
      <c r="E65" s="7" t="str">
        <f t="shared" si="0"/>
        <v>-</v>
      </c>
      <c r="F65" s="42">
        <f t="shared" si="1"/>
        <v>1</v>
      </c>
    </row>
    <row r="66" spans="1:6" s="8" customFormat="1" ht="30" customHeight="1" x14ac:dyDescent="0.2">
      <c r="A66" s="64" t="s">
        <v>40</v>
      </c>
      <c r="B66" s="65" t="s">
        <v>33</v>
      </c>
      <c r="C66" s="7">
        <f>CENTRALA!C45+'Razem OW'!C45</f>
        <v>680</v>
      </c>
      <c r="D66" s="7">
        <f>CENTRALA!D45+'Razem OW'!D45</f>
        <v>680</v>
      </c>
      <c r="E66" s="7" t="str">
        <f t="shared" si="0"/>
        <v>-</v>
      </c>
      <c r="F66" s="42">
        <f t="shared" si="1"/>
        <v>1</v>
      </c>
    </row>
    <row r="67" spans="1:6" s="8" customFormat="1" ht="30" customHeight="1" x14ac:dyDescent="0.2">
      <c r="A67" s="64" t="s">
        <v>41</v>
      </c>
      <c r="B67" s="65" t="s">
        <v>34</v>
      </c>
      <c r="C67" s="7">
        <f>CENTRALA!C46+'Razem OW'!C46</f>
        <v>27</v>
      </c>
      <c r="D67" s="7">
        <f>CENTRALA!D46+'Razem OW'!D46</f>
        <v>27</v>
      </c>
      <c r="E67" s="7" t="str">
        <f t="shared" si="0"/>
        <v>-</v>
      </c>
      <c r="F67" s="42">
        <f t="shared" si="1"/>
        <v>1</v>
      </c>
    </row>
    <row r="68" spans="1:6" s="8" customFormat="1" ht="30" customHeight="1" x14ac:dyDescent="0.2">
      <c r="A68" s="64" t="s">
        <v>42</v>
      </c>
      <c r="B68" s="65" t="s">
        <v>35</v>
      </c>
      <c r="C68" s="7">
        <f>CENTRALA!C47+'Razem OW'!C47</f>
        <v>0</v>
      </c>
      <c r="D68" s="7">
        <f>CENTRALA!D47+'Razem OW'!D47</f>
        <v>0</v>
      </c>
      <c r="E68" s="7" t="str">
        <f t="shared" si="0"/>
        <v>-</v>
      </c>
      <c r="F68" s="42" t="str">
        <f t="shared" si="1"/>
        <v>-</v>
      </c>
    </row>
    <row r="69" spans="1:6" s="8" customFormat="1" ht="30" customHeight="1" x14ac:dyDescent="0.2">
      <c r="A69" s="64" t="s">
        <v>43</v>
      </c>
      <c r="B69" s="65" t="s">
        <v>36</v>
      </c>
      <c r="C69" s="7">
        <f>CENTRALA!C48+'Razem OW'!C48</f>
        <v>2973</v>
      </c>
      <c r="D69" s="7">
        <f>CENTRALA!D48+'Razem OW'!D48</f>
        <v>2973</v>
      </c>
      <c r="E69" s="7" t="str">
        <f t="shared" si="0"/>
        <v>-</v>
      </c>
      <c r="F69" s="42">
        <f t="shared" si="1"/>
        <v>1</v>
      </c>
    </row>
    <row r="70" spans="1:6" s="9" customFormat="1" ht="30" customHeight="1" x14ac:dyDescent="0.25">
      <c r="A70" s="64" t="s">
        <v>44</v>
      </c>
      <c r="B70" s="65" t="s">
        <v>37</v>
      </c>
      <c r="C70" s="7">
        <f>CENTRALA!C49+'Razem OW'!C49</f>
        <v>388</v>
      </c>
      <c r="D70" s="7">
        <f>CENTRALA!D49+'Razem OW'!D49</f>
        <v>388</v>
      </c>
      <c r="E70" s="7" t="str">
        <f t="shared" si="0"/>
        <v>-</v>
      </c>
      <c r="F70" s="42">
        <f t="shared" si="1"/>
        <v>1</v>
      </c>
    </row>
    <row r="71" spans="1:6" ht="30" customHeight="1" x14ac:dyDescent="0.2">
      <c r="A71" s="52" t="s">
        <v>22</v>
      </c>
      <c r="B71" s="23" t="s">
        <v>157</v>
      </c>
      <c r="C71" s="7">
        <f>CENTRALA!C50+'Razem OW'!C50</f>
        <v>341092</v>
      </c>
      <c r="D71" s="7">
        <f>CENTRALA!D50+'Razem OW'!D50</f>
        <v>341092</v>
      </c>
      <c r="E71" s="7" t="str">
        <f t="shared" si="0"/>
        <v>-</v>
      </c>
      <c r="F71" s="42">
        <f t="shared" si="1"/>
        <v>1</v>
      </c>
    </row>
    <row r="72" spans="1:6" ht="30" customHeight="1" x14ac:dyDescent="0.2">
      <c r="A72" s="64" t="s">
        <v>158</v>
      </c>
      <c r="B72" s="65" t="s">
        <v>159</v>
      </c>
      <c r="C72" s="7">
        <f>CENTRALA!C51+'Razem OW'!C51</f>
        <v>1183</v>
      </c>
      <c r="D72" s="7">
        <f>CENTRALA!D51+'Razem OW'!D51</f>
        <v>1183</v>
      </c>
      <c r="E72" s="7" t="str">
        <f t="shared" si="0"/>
        <v>-</v>
      </c>
      <c r="F72" s="42">
        <f t="shared" si="1"/>
        <v>1</v>
      </c>
    </row>
    <row r="73" spans="1:6" ht="30" customHeight="1" x14ac:dyDescent="0.2">
      <c r="A73" s="52" t="s">
        <v>23</v>
      </c>
      <c r="B73" s="27" t="s">
        <v>185</v>
      </c>
      <c r="C73" s="7">
        <f>SUM(C74:C77)</f>
        <v>77635</v>
      </c>
      <c r="D73" s="7">
        <f>SUM(D74:D77)</f>
        <v>77635</v>
      </c>
      <c r="E73" s="7" t="str">
        <f t="shared" si="0"/>
        <v>-</v>
      </c>
      <c r="F73" s="42">
        <f t="shared" si="1"/>
        <v>1</v>
      </c>
    </row>
    <row r="74" spans="1:6" s="8" customFormat="1" ht="30" customHeight="1" x14ac:dyDescent="0.2">
      <c r="A74" s="64" t="s">
        <v>49</v>
      </c>
      <c r="B74" s="65" t="s">
        <v>45</v>
      </c>
      <c r="C74" s="7">
        <f>CENTRALA!C53+'Razem OW'!C53</f>
        <v>58390</v>
      </c>
      <c r="D74" s="7">
        <f>CENTRALA!D53+'Razem OW'!D53</f>
        <v>58390</v>
      </c>
      <c r="E74" s="7" t="str">
        <f t="shared" si="0"/>
        <v>-</v>
      </c>
      <c r="F74" s="42">
        <f t="shared" si="1"/>
        <v>1</v>
      </c>
    </row>
    <row r="75" spans="1:6" s="8" customFormat="1" ht="30" customHeight="1" x14ac:dyDescent="0.2">
      <c r="A75" s="64" t="s">
        <v>50</v>
      </c>
      <c r="B75" s="65" t="s">
        <v>46</v>
      </c>
      <c r="C75" s="7">
        <f>CENTRALA!C54+'Razem OW'!C54</f>
        <v>8165</v>
      </c>
      <c r="D75" s="7">
        <f>CENTRALA!D54+'Razem OW'!D54</f>
        <v>8165</v>
      </c>
      <c r="E75" s="7" t="str">
        <f t="shared" si="0"/>
        <v>-</v>
      </c>
      <c r="F75" s="42">
        <f t="shared" si="1"/>
        <v>1</v>
      </c>
    </row>
    <row r="76" spans="1:6" s="8" customFormat="1" ht="30" customHeight="1" x14ac:dyDescent="0.2">
      <c r="A76" s="64" t="s">
        <v>51</v>
      </c>
      <c r="B76" s="65" t="s">
        <v>47</v>
      </c>
      <c r="C76" s="7">
        <f>CENTRALA!C55+'Razem OW'!C55</f>
        <v>0</v>
      </c>
      <c r="D76" s="7">
        <f>CENTRALA!D55+'Razem OW'!D55</f>
        <v>0</v>
      </c>
      <c r="E76" s="7" t="str">
        <f t="shared" si="0"/>
        <v>-</v>
      </c>
      <c r="F76" s="42" t="str">
        <f t="shared" si="1"/>
        <v>-</v>
      </c>
    </row>
    <row r="77" spans="1:6" s="8" customFormat="1" ht="30" customHeight="1" x14ac:dyDescent="0.2">
      <c r="A77" s="64" t="s">
        <v>52</v>
      </c>
      <c r="B77" s="65" t="s">
        <v>48</v>
      </c>
      <c r="C77" s="7">
        <f>CENTRALA!C56+'Razem OW'!C56</f>
        <v>11080</v>
      </c>
      <c r="D77" s="7">
        <f>CENTRALA!D56+'Razem OW'!D56</f>
        <v>11080</v>
      </c>
      <c r="E77" s="7" t="str">
        <f t="shared" si="0"/>
        <v>-</v>
      </c>
      <c r="F77" s="42">
        <f t="shared" si="1"/>
        <v>1</v>
      </c>
    </row>
    <row r="78" spans="1:6" ht="30.75" customHeight="1" x14ac:dyDescent="0.2">
      <c r="A78" s="52" t="s">
        <v>24</v>
      </c>
      <c r="B78" s="23" t="s">
        <v>25</v>
      </c>
      <c r="C78" s="7">
        <f>CENTRALA!C57+'Razem OW'!C57</f>
        <v>50</v>
      </c>
      <c r="D78" s="7">
        <f>CENTRALA!D57+'Razem OW'!D57</f>
        <v>50</v>
      </c>
      <c r="E78" s="7" t="str">
        <f t="shared" si="0"/>
        <v>-</v>
      </c>
      <c r="F78" s="42">
        <f t="shared" si="1"/>
        <v>1</v>
      </c>
    </row>
    <row r="79" spans="1:6" ht="30.75" customHeight="1" x14ac:dyDescent="0.2">
      <c r="A79" s="52" t="s">
        <v>26</v>
      </c>
      <c r="B79" s="23" t="s">
        <v>160</v>
      </c>
      <c r="C79" s="7">
        <f>CENTRALA!C58+'Razem OW'!C58</f>
        <v>112061</v>
      </c>
      <c r="D79" s="7">
        <f>CENTRALA!D58+'Razem OW'!D58</f>
        <v>112061</v>
      </c>
      <c r="E79" s="7" t="str">
        <f t="shared" si="0"/>
        <v>-</v>
      </c>
      <c r="F79" s="42">
        <f t="shared" si="1"/>
        <v>1</v>
      </c>
    </row>
    <row r="80" spans="1:6" ht="30.75" customHeight="1" x14ac:dyDescent="0.2">
      <c r="A80" s="52" t="s">
        <v>27</v>
      </c>
      <c r="B80" s="23" t="s">
        <v>28</v>
      </c>
      <c r="C80" s="7">
        <f>CENTRALA!C59+'Razem OW'!C59</f>
        <v>6172</v>
      </c>
      <c r="D80" s="7">
        <f>CENTRALA!D59+'Razem OW'!D59</f>
        <v>6172</v>
      </c>
      <c r="E80" s="7" t="str">
        <f t="shared" si="0"/>
        <v>-</v>
      </c>
      <c r="F80" s="42">
        <f t="shared" si="1"/>
        <v>1</v>
      </c>
    </row>
    <row r="81" spans="1:9" s="10" customFormat="1" ht="33" customHeight="1" x14ac:dyDescent="0.4">
      <c r="A81" s="96" t="s">
        <v>132</v>
      </c>
      <c r="B81" s="97" t="s">
        <v>162</v>
      </c>
      <c r="C81" s="83">
        <f>IFERROR(VLOOKUP(A81,[4]NFZ!$A$7:$D$100,4,FALSE),0)</f>
        <v>186891</v>
      </c>
      <c r="D81" s="83">
        <f>C81+216817</f>
        <v>403708</v>
      </c>
      <c r="E81" s="83">
        <f t="shared" si="0"/>
        <v>216817</v>
      </c>
      <c r="F81" s="84">
        <f t="shared" si="1"/>
        <v>2.1600999999999999</v>
      </c>
    </row>
    <row r="82" spans="1:9" s="10" customFormat="1" ht="33" customHeight="1" x14ac:dyDescent="0.4">
      <c r="A82" s="96" t="s">
        <v>133</v>
      </c>
      <c r="B82" s="97" t="s">
        <v>174</v>
      </c>
      <c r="C82" s="83">
        <f>C83+C84+C85+C86</f>
        <v>233676</v>
      </c>
      <c r="D82" s="83">
        <f>D83+D84+D85+D86</f>
        <v>235034</v>
      </c>
      <c r="E82" s="83">
        <f t="shared" ref="E82:E93" si="2">IF(C82=D82,"-",D82-C82)</f>
        <v>1358</v>
      </c>
      <c r="F82" s="84">
        <f t="shared" ref="F82:F93" si="3">IF(C82=0,"-",D82/C82)</f>
        <v>1.0058</v>
      </c>
    </row>
    <row r="83" spans="1:9" ht="47.25" customHeight="1" x14ac:dyDescent="0.2">
      <c r="A83" s="55" t="s">
        <v>100</v>
      </c>
      <c r="B83" s="24" t="s">
        <v>113</v>
      </c>
      <c r="C83" s="7">
        <f>CENTRALA!C61+'Razem OW'!C61</f>
        <v>1269</v>
      </c>
      <c r="D83" s="7">
        <f>CENTRALA!D61+'Razem OW'!D61</f>
        <v>899</v>
      </c>
      <c r="E83" s="7">
        <f t="shared" si="2"/>
        <v>-370</v>
      </c>
      <c r="F83" s="42">
        <f t="shared" si="3"/>
        <v>0.70840000000000003</v>
      </c>
    </row>
    <row r="84" spans="1:9" ht="33.75" customHeight="1" x14ac:dyDescent="0.2">
      <c r="A84" s="55" t="s">
        <v>29</v>
      </c>
      <c r="B84" s="24" t="s">
        <v>54</v>
      </c>
      <c r="C84" s="7">
        <f>CENTRALA!C62+'Razem OW'!C62</f>
        <v>192338</v>
      </c>
      <c r="D84" s="7">
        <f>CENTRALA!D62+'Razem OW'!D62</f>
        <v>163439</v>
      </c>
      <c r="E84" s="7">
        <f t="shared" si="2"/>
        <v>-28899</v>
      </c>
      <c r="F84" s="42">
        <f t="shared" si="3"/>
        <v>0.84970000000000001</v>
      </c>
    </row>
    <row r="85" spans="1:9" ht="30" customHeight="1" x14ac:dyDescent="0.2">
      <c r="A85" s="55" t="s">
        <v>30</v>
      </c>
      <c r="B85" s="24" t="s">
        <v>102</v>
      </c>
      <c r="C85" s="7">
        <f>CENTRALA!C63+'Razem OW'!C63</f>
        <v>0</v>
      </c>
      <c r="D85" s="7">
        <f>CENTRALA!D63+'Razem OW'!D63</f>
        <v>0</v>
      </c>
      <c r="E85" s="7" t="str">
        <f t="shared" si="2"/>
        <v>-</v>
      </c>
      <c r="F85" s="42" t="str">
        <f t="shared" si="3"/>
        <v>-</v>
      </c>
    </row>
    <row r="86" spans="1:9" ht="30" customHeight="1" x14ac:dyDescent="0.2">
      <c r="A86" s="55" t="s">
        <v>101</v>
      </c>
      <c r="B86" s="25" t="s">
        <v>103</v>
      </c>
      <c r="C86" s="7">
        <f>CENTRALA!C64+'Razem OW'!C64</f>
        <v>40069</v>
      </c>
      <c r="D86" s="7">
        <f>CENTRALA!D64+'Razem OW'!D64</f>
        <v>70696</v>
      </c>
      <c r="E86" s="7">
        <f t="shared" si="2"/>
        <v>30627</v>
      </c>
      <c r="F86" s="42">
        <f t="shared" si="3"/>
        <v>1.7644</v>
      </c>
    </row>
    <row r="87" spans="1:9" s="10" customFormat="1" ht="33" customHeight="1" x14ac:dyDescent="0.4">
      <c r="A87" s="96" t="s">
        <v>134</v>
      </c>
      <c r="B87" s="97" t="s">
        <v>175</v>
      </c>
      <c r="C87" s="83">
        <f>C88+C89</f>
        <v>52142</v>
      </c>
      <c r="D87" s="83">
        <f>D88+D89</f>
        <v>79044</v>
      </c>
      <c r="E87" s="83">
        <f t="shared" si="2"/>
        <v>26902</v>
      </c>
      <c r="F87" s="84">
        <f t="shared" si="3"/>
        <v>1.5159</v>
      </c>
    </row>
    <row r="88" spans="1:9" ht="30" customHeight="1" x14ac:dyDescent="0.2">
      <c r="A88" s="55" t="s">
        <v>104</v>
      </c>
      <c r="B88" s="24" t="s">
        <v>105</v>
      </c>
      <c r="C88" s="7">
        <f>IFERROR(VLOOKUP(A88,[4]NFZ!$A$7:$D$100,4,FALSE),0)</f>
        <v>44370</v>
      </c>
      <c r="D88" s="7">
        <f>C88+9726</f>
        <v>54096</v>
      </c>
      <c r="E88" s="7">
        <f t="shared" si="2"/>
        <v>9726</v>
      </c>
      <c r="F88" s="42">
        <f t="shared" si="3"/>
        <v>1.2192000000000001</v>
      </c>
    </row>
    <row r="89" spans="1:9" ht="30" customHeight="1" x14ac:dyDescent="0.2">
      <c r="A89" s="55" t="s">
        <v>106</v>
      </c>
      <c r="B89" s="25" t="s">
        <v>107</v>
      </c>
      <c r="C89" s="7">
        <f>IFERROR(VLOOKUP(A89,[4]NFZ!$A$7:$D$100,4,FALSE),0)</f>
        <v>7772</v>
      </c>
      <c r="D89" s="7">
        <f>C89+17176</f>
        <v>24948</v>
      </c>
      <c r="E89" s="7">
        <f t="shared" si="2"/>
        <v>17176</v>
      </c>
      <c r="F89" s="42">
        <f t="shared" si="3"/>
        <v>3.21</v>
      </c>
    </row>
    <row r="90" spans="1:9" s="10" customFormat="1" ht="39.75" customHeight="1" x14ac:dyDescent="0.4">
      <c r="A90" s="96" t="s">
        <v>135</v>
      </c>
      <c r="B90" s="97" t="s">
        <v>114</v>
      </c>
      <c r="C90" s="83">
        <f>CENTRALA!C65+'Razem OW'!C65</f>
        <v>86053</v>
      </c>
      <c r="D90" s="83">
        <f>CENTRALA!D65+'Razem OW'!D65</f>
        <v>68856</v>
      </c>
      <c r="E90" s="83">
        <f t="shared" si="2"/>
        <v>-17197</v>
      </c>
      <c r="F90" s="84">
        <f t="shared" si="3"/>
        <v>0.80020000000000002</v>
      </c>
    </row>
    <row r="91" spans="1:9" s="10" customFormat="1" ht="64.5" customHeight="1" x14ac:dyDescent="0.4">
      <c r="A91" s="74" t="s">
        <v>136</v>
      </c>
      <c r="B91" s="75" t="s">
        <v>195</v>
      </c>
      <c r="C91" s="71">
        <f>C59-C60+C81-C82+C87-C90</f>
        <v>-1573100</v>
      </c>
      <c r="D91" s="71">
        <f>D59-D60+D81-D82+D87-D90</f>
        <v>-1573100</v>
      </c>
      <c r="E91" s="71" t="str">
        <f t="shared" si="2"/>
        <v>-</v>
      </c>
      <c r="F91" s="73">
        <f t="shared" si="3"/>
        <v>1</v>
      </c>
    </row>
    <row r="92" spans="1:9" s="10" customFormat="1" ht="33" customHeight="1" x14ac:dyDescent="0.4">
      <c r="A92" s="81" t="s">
        <v>137</v>
      </c>
      <c r="B92" s="98" t="s">
        <v>197</v>
      </c>
      <c r="C92" s="99">
        <f>C6+C12+C20+C21+C22+C23+C81+C87-C18</f>
        <v>78535573</v>
      </c>
      <c r="D92" s="99">
        <f>D6+D12+D20+D21+D22+D23+D81+D87-D18</f>
        <v>78779292</v>
      </c>
      <c r="E92" s="99">
        <f t="shared" si="2"/>
        <v>243719</v>
      </c>
      <c r="F92" s="100">
        <f t="shared" si="3"/>
        <v>1.0031000000000001</v>
      </c>
    </row>
    <row r="93" spans="1:9" s="10" customFormat="1" ht="33" customHeight="1" x14ac:dyDescent="0.4">
      <c r="A93" s="96" t="s">
        <v>138</v>
      </c>
      <c r="B93" s="101" t="s">
        <v>198</v>
      </c>
      <c r="C93" s="99">
        <f>C9+C15+C25+C26+C55+C56+C57+C60+C82+C90</f>
        <v>80108673</v>
      </c>
      <c r="D93" s="99">
        <f>D9+D15+D25+D26+D55+D56+D57+D60+D82+D90</f>
        <v>80352392</v>
      </c>
      <c r="E93" s="99">
        <f t="shared" si="2"/>
        <v>243719</v>
      </c>
      <c r="F93" s="100">
        <f t="shared" si="3"/>
        <v>1.0029999999999999</v>
      </c>
      <c r="I93" s="109"/>
    </row>
    <row r="94" spans="1:9" ht="26.25" x14ac:dyDescent="0.2">
      <c r="C94" s="11"/>
    </row>
    <row r="95" spans="1:9" ht="26.25" x14ac:dyDescent="0.2">
      <c r="C95" s="11"/>
    </row>
    <row r="96" spans="1:9" ht="26.25" x14ac:dyDescent="0.2">
      <c r="C96" s="11"/>
    </row>
    <row r="97" spans="3:3" ht="26.25" x14ac:dyDescent="0.2">
      <c r="C97" s="11"/>
    </row>
    <row r="98" spans="3:3" ht="26.25" x14ac:dyDescent="0.2">
      <c r="C98" s="11"/>
    </row>
    <row r="99" spans="3:3" ht="26.25" x14ac:dyDescent="0.2">
      <c r="C99" s="11"/>
    </row>
    <row r="100" spans="3:3" ht="26.25" x14ac:dyDescent="0.2">
      <c r="C100" s="11"/>
    </row>
    <row r="101" spans="3:3" ht="26.25" x14ac:dyDescent="0.2">
      <c r="C101" s="11"/>
    </row>
    <row r="102" spans="3:3" ht="26.25" x14ac:dyDescent="0.2">
      <c r="C102" s="11"/>
    </row>
    <row r="103" spans="3:3" ht="26.25" x14ac:dyDescent="0.2">
      <c r="C103" s="11"/>
    </row>
    <row r="104" spans="3:3" ht="26.25" x14ac:dyDescent="0.2">
      <c r="C104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5"/>
  <sheetViews>
    <sheetView showGridLines="0" view="pageBreakPreview" zoomScale="55" zoomScaleNormal="55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R18" sqref="R18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66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11036143</v>
      </c>
      <c r="D6" s="102">
        <f>D7+D8+D9+D14+D15+D16+D17+D18+D19+D20+D21+D22+D23+D24+D28+D29+D31+D32+D33+D34</f>
        <v>11073687</v>
      </c>
      <c r="E6" s="83">
        <f>IF(C6=D6,"-",D6-C6)</f>
        <v>37544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IFERROR(VLOOKUP(A7,[4]Mazowiecki!$A$7:$D$100,4,FALSE),0)</f>
        <v>1490323</v>
      </c>
      <c r="D7" s="13">
        <f>C7</f>
        <v>1490323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IFERROR(VLOOKUP(A8,[4]Mazowiecki!$A$7:$D$100,4,FALSE),0)</f>
        <v>764334</v>
      </c>
      <c r="D8" s="13">
        <f>C8</f>
        <v>764334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IFERROR(VLOOKUP(A9,[4]Mazowiecki!$A$7:$D$100,4,FALSE),0)</f>
        <v>5868850</v>
      </c>
      <c r="D9" s="13">
        <f>C9+37544</f>
        <v>5906394</v>
      </c>
      <c r="E9" s="38">
        <f t="shared" si="0"/>
        <v>37544</v>
      </c>
      <c r="F9" s="39">
        <f t="shared" si="1"/>
        <v>1.0064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IFERROR(VLOOKUP(A10,[4]Mazowiecki!$A$7:$D$100,4,FALSE),0)</f>
        <v>620540</v>
      </c>
      <c r="D10" s="13">
        <f t="shared" ref="D10:D34" si="2">C10</f>
        <v>620540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IFERROR(VLOOKUP(A11,[4]Mazowiecki!$A$7:$D$100,4,FALSE),0)</f>
        <v>563395</v>
      </c>
      <c r="D11" s="13">
        <f t="shared" si="2"/>
        <v>563395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IFERROR(VLOOKUP(A12,[4]Mazowiecki!$A$7:$D$100,4,FALSE),0)</f>
        <v>223251</v>
      </c>
      <c r="D12" s="13">
        <f t="shared" si="2"/>
        <v>223251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IFERROR(VLOOKUP(A13,[4]Mazowiecki!$A$7:$D$100,4,FALSE),0)</f>
        <v>107702</v>
      </c>
      <c r="D13" s="13">
        <f t="shared" si="2"/>
        <v>107702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IFERROR(VLOOKUP(A14,[4]Mazowiecki!$A$7:$D$100,4,FALSE),0)</f>
        <v>385950</v>
      </c>
      <c r="D14" s="13">
        <f t="shared" si="2"/>
        <v>385950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IFERROR(VLOOKUP(A15,[4]Mazowiecki!$A$7:$D$100,4,FALSE),0)</f>
        <v>422141</v>
      </c>
      <c r="D15" s="13">
        <f t="shared" si="2"/>
        <v>422141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IFERROR(VLOOKUP(A16,[4]Mazowiecki!$A$7:$D$100,4,FALSE),0)</f>
        <v>178977</v>
      </c>
      <c r="D16" s="13">
        <f t="shared" si="2"/>
        <v>178977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IFERROR(VLOOKUP(A17,[4]Mazowiecki!$A$7:$D$100,4,FALSE),0)</f>
        <v>70018</v>
      </c>
      <c r="D17" s="13">
        <f t="shared" si="2"/>
        <v>70018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IFERROR(VLOOKUP(A18,[4]Mazowiecki!$A$7:$D$100,4,FALSE),0)</f>
        <v>215041</v>
      </c>
      <c r="D18" s="13">
        <f t="shared" si="2"/>
        <v>215041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IFERROR(VLOOKUP(A19,[4]Mazowiecki!$A$7:$D$100,4,FALSE),0)</f>
        <v>102936</v>
      </c>
      <c r="D19" s="13">
        <f t="shared" si="2"/>
        <v>102936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IFERROR(VLOOKUP(A20,[4]Mazowiecki!$A$7:$D$100,4,FALSE),0)</f>
        <v>8554</v>
      </c>
      <c r="D20" s="13">
        <f t="shared" si="2"/>
        <v>8554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IFERROR(VLOOKUP(A21,[4]Mazowiecki!$A$7:$D$100,4,FALSE),0)</f>
        <v>24388</v>
      </c>
      <c r="D21" s="13">
        <f t="shared" si="2"/>
        <v>24388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IFERROR(VLOOKUP(A22,[4]Mazowiecki!$A$7:$D$100,4,FALSE),0)</f>
        <v>232992</v>
      </c>
      <c r="D22" s="13">
        <f t="shared" si="2"/>
        <v>232992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IFERROR(VLOOKUP(A23,[4]Mazowiecki!$A$7:$D$100,4,FALSE),0)</f>
        <v>140000</v>
      </c>
      <c r="D23" s="13">
        <f t="shared" si="2"/>
        <v>140000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IFERROR(VLOOKUP(A24,[4]Mazowiecki!$A$7:$D$100,4,FALSE),0)</f>
        <v>1118984</v>
      </c>
      <c r="D24" s="31">
        <f>SUM(D25:D27)</f>
        <v>1118984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IFERROR(VLOOKUP(A25,[4]Mazowiecki!$A$7:$D$100,4,FALSE),0)</f>
        <v>1111278</v>
      </c>
      <c r="D25" s="13">
        <f t="shared" si="2"/>
        <v>1111278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IFERROR(VLOOKUP(A26,[4]Mazowiecki!$A$7:$D$100,4,FALSE),0)</f>
        <v>3058</v>
      </c>
      <c r="D26" s="13">
        <f t="shared" si="2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IFERROR(VLOOKUP(A27,[4]Mazowiecki!$A$7:$D$100,4,FALSE),0)</f>
        <v>4648</v>
      </c>
      <c r="D27" s="13">
        <f t="shared" si="2"/>
        <v>4648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IFERROR(VLOOKUP(A28,[4]Mazowiecki!$A$7:$D$100,4,FALSE),0)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IFERROR(VLOOKUP(A29,[4]Mazowiecki!$A$7:$D$100,4,FALSE),0)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IFERROR(VLOOKUP(A30,[4]Mazowiecki!$A$7:$D$100,4,FALSE),0)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IFERROR(VLOOKUP(A31,[4]Mazowiecki!$A$7:$D$100,4,FALSE),0)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IFERROR(VLOOKUP(A32,[4]Mazowiecki!$A$7:$D$100,4,FALSE),0)</f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IFERROR(VLOOKUP(A33,[4]Mazowiecki!$A$7:$D$100,4,FALSE),0)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IFERROR(VLOOKUP(A34,[4]Mazowiecki!$A$7:$D$100,4,FALSE),0)</f>
        <v>12655</v>
      </c>
      <c r="D34" s="13">
        <f t="shared" si="2"/>
        <v>12655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IFERROR(VLOOKUP(A35,[4]Mazowiecki!$A$7:$D$100,4,FALSE),0)</f>
        <v>284</v>
      </c>
      <c r="D35" s="37">
        <f>C35</f>
        <v>284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IFERROR(VLOOKUP(A36,[4]Mazowiecki!$A$7:$D$100,4,FALSE),0)</f>
        <v>238333</v>
      </c>
      <c r="D36" s="37">
        <f>C36</f>
        <v>238333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IFERROR(VLOOKUP(A37,[4]Mazowiecki!$A$7:$D$100,4,FALSE),0)</f>
        <v>79276</v>
      </c>
      <c r="D37" s="37">
        <f>C37</f>
        <v>79276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1790081</v>
      </c>
      <c r="D38" s="32">
        <f>D11+D13+D24+D30</f>
        <v>1790081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70562</v>
      </c>
      <c r="D39" s="87">
        <f>D40+D41+D42+D50+D52+D58+D59+D57</f>
        <v>70562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IFERROR(VLOOKUP(A40,[4]Mazowiecki!$A$7:$D$100,4,FALSE),0)</f>
        <v>2026</v>
      </c>
      <c r="D40" s="33">
        <f>C40</f>
        <v>2026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IFERROR(VLOOKUP(A41,[4]Mazowiecki!$A$7:$D$100,4,FALSE),0)</f>
        <v>12156</v>
      </c>
      <c r="D41" s="33">
        <f t="shared" ref="D41:D59" si="3">C41</f>
        <v>12156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233</v>
      </c>
      <c r="D42" s="33">
        <f>D43+D45+D46+D47+D48+D49</f>
        <v>233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IFERROR(VLOOKUP(A43,[4]Mazowiecki!$A$7:$D$100,4,FALSE),0)</f>
        <v>20</v>
      </c>
      <c r="D43" s="33">
        <f t="shared" si="3"/>
        <v>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IFERROR(VLOOKUP(A44,[4]Mazowiecki!$A$7:$D$100,4,FALSE),0)</f>
        <v>20</v>
      </c>
      <c r="D44" s="33">
        <f t="shared" si="3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IFERROR(VLOOKUP(A45,[4]Mazowiecki!$A$7:$D$100,4,FALSE),0)</f>
        <v>12</v>
      </c>
      <c r="D45" s="33">
        <f t="shared" si="3"/>
        <v>12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IFERROR(VLOOKUP(A46,[4]Mazowiecki!$A$7:$D$100,4,FALSE),0)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IFERROR(VLOOKUP(A47,[4]Mazowiecki!$A$7:$D$100,4,FALSE),0)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IFERROR(VLOOKUP(A48,[4]Mazowiecki!$A$7:$D$100,4,FALSE),0)</f>
        <v>198</v>
      </c>
      <c r="D48" s="33">
        <f t="shared" si="3"/>
        <v>198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IFERROR(VLOOKUP(A49,[4]Mazowiecki!$A$7:$D$100,4,FALSE),0)</f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IFERROR(VLOOKUP(A50,[4]Mazowiecki!$A$7:$D$100,4,FALSE),0)</f>
        <v>43501</v>
      </c>
      <c r="D50" s="33">
        <f t="shared" si="3"/>
        <v>43501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IFERROR(VLOOKUP(A51,[4]Mazowiecki!$A$7:$D$100,4,FALSE),0)</f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9753</v>
      </c>
      <c r="D52" s="29">
        <f>D53+D54+D55+D56</f>
        <v>9753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IFERROR(VLOOKUP(A53,[4]Mazowiecki!$A$7:$D$100,4,FALSE),0)</f>
        <v>7466</v>
      </c>
      <c r="D53" s="33">
        <f t="shared" si="3"/>
        <v>7466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IFERROR(VLOOKUP(A54,[4]Mazowiecki!$A$7:$D$100,4,FALSE),0)</f>
        <v>1066</v>
      </c>
      <c r="D54" s="33">
        <f t="shared" si="3"/>
        <v>1066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IFERROR(VLOOKUP(A55,[4]Mazowiecki!$A$7:$D$100,4,FALSE),0)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IFERROR(VLOOKUP(A56,[4]Mazowiecki!$A$7:$D$100,4,FALSE),0)</f>
        <v>1221</v>
      </c>
      <c r="D56" s="33">
        <f t="shared" si="3"/>
        <v>1221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IFERROR(VLOOKUP(A57,[4]Mazowiecki!$A$7:$D$100,4,FALSE),0)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IFERROR(VLOOKUP(A58,[4]Mazowiecki!$A$7:$D$100,4,FALSE),0)</f>
        <v>2498</v>
      </c>
      <c r="D58" s="33">
        <f t="shared" si="3"/>
        <v>2498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IFERROR(VLOOKUP(A59,[4]Mazowiecki!$A$7:$D$100,4,FALSE),0)</f>
        <v>395</v>
      </c>
      <c r="D59" s="33">
        <f t="shared" si="3"/>
        <v>395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21960</v>
      </c>
      <c r="D60" s="107">
        <f>D61+D62+D63+D64</f>
        <v>34108</v>
      </c>
      <c r="E60" s="83">
        <f t="shared" si="0"/>
        <v>12148</v>
      </c>
      <c r="F60" s="108">
        <f t="shared" si="1"/>
        <v>1.5531999999999999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IFERROR(VLOOKUP(A61,[4]Mazowiecki!$A$7:$D$100,4,FALSE),0)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IFERROR(VLOOKUP(A62,[4]Mazowiecki!$A$7:$D$100,4,FALSE),0)</f>
        <v>13828</v>
      </c>
      <c r="D62" s="33">
        <f>C62+13223</f>
        <v>27051</v>
      </c>
      <c r="E62" s="29">
        <f t="shared" si="0"/>
        <v>13223</v>
      </c>
      <c r="F62" s="39">
        <f t="shared" si="1"/>
        <v>1.9561999999999999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IFERROR(VLOOKUP(A63,[4]Mazowiecki!$A$7:$D$100,4,FALSE),0)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IFERROR(VLOOKUP(A64,[4]Mazowiecki!$A$7:$D$100,4,FALSE),0)</f>
        <v>8132</v>
      </c>
      <c r="D64" s="33">
        <f>C64-1075</f>
        <v>7057</v>
      </c>
      <c r="E64" s="29">
        <f t="shared" si="0"/>
        <v>-1075</v>
      </c>
      <c r="F64" s="39">
        <f t="shared" si="1"/>
        <v>0.86780000000000002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IFERROR(VLOOKUP(A65,[4]Mazowiecki!$A$7:$D$100,4,FALSE),0)</f>
        <v>9640</v>
      </c>
      <c r="D65" s="107">
        <f>C65+446</f>
        <v>10086</v>
      </c>
      <c r="E65" s="83">
        <f t="shared" si="0"/>
        <v>446</v>
      </c>
      <c r="F65" s="108">
        <f t="shared" si="1"/>
        <v>1.0463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D6" sqref="D6:D93"/>
      <selection pane="topRight" activeCell="D6" sqref="D6:D93"/>
      <selection pane="bottomLeft" activeCell="D6" sqref="D6:D93"/>
      <selection pane="bottomRight" activeCell="E65" sqref="E65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1842990</v>
      </c>
      <c r="D6" s="102">
        <f>D7+D8+D9+D14+D15+D16+D17+D18+D19+D20+D21+D22+D23+D24+D28+D29+D31+D32+D33+D34</f>
        <v>1849323</v>
      </c>
      <c r="E6" s="83">
        <f>IF(C6=D6,"-",D6-C6)</f>
        <v>6333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IFERROR(VLOOKUP(A7,[4]Opolski!$A$7:$D$100,4,FALSE),0)</f>
        <v>243249</v>
      </c>
      <c r="D7" s="13">
        <f>C7</f>
        <v>243249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IFERROR(VLOOKUP(A8,[4]Opolski!$A$7:$D$100,4,FALSE),0)</f>
        <v>131237</v>
      </c>
      <c r="D8" s="13">
        <f>C8</f>
        <v>131237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IFERROR(VLOOKUP(A9,[4]Opolski!$A$7:$D$100,4,FALSE),0)</f>
        <v>915362</v>
      </c>
      <c r="D9" s="13">
        <f>C9+6333</f>
        <v>921695</v>
      </c>
      <c r="E9" s="38">
        <f t="shared" si="0"/>
        <v>6333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IFERROR(VLOOKUP(A10,[4]Opolski!$A$7:$D$100,4,FALSE),0)</f>
        <v>70727</v>
      </c>
      <c r="D10" s="13">
        <f t="shared" ref="D10:D34" si="2">C10</f>
        <v>70727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IFERROR(VLOOKUP(A11,[4]Opolski!$A$7:$D$100,4,FALSE),0)</f>
        <v>64597</v>
      </c>
      <c r="D11" s="13">
        <f t="shared" si="2"/>
        <v>64597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IFERROR(VLOOKUP(A12,[4]Opolski!$A$7:$D$100,4,FALSE),0)</f>
        <v>34767</v>
      </c>
      <c r="D12" s="13">
        <f t="shared" si="2"/>
        <v>34767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IFERROR(VLOOKUP(A13,[4]Opolski!$A$7:$D$100,4,FALSE),0)</f>
        <v>15917</v>
      </c>
      <c r="D13" s="13">
        <f t="shared" si="2"/>
        <v>15917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IFERROR(VLOOKUP(A14,[4]Opolski!$A$7:$D$100,4,FALSE),0)</f>
        <v>66487</v>
      </c>
      <c r="D14" s="13">
        <f t="shared" si="2"/>
        <v>66487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IFERROR(VLOOKUP(A15,[4]Opolski!$A$7:$D$100,4,FALSE),0)</f>
        <v>56783</v>
      </c>
      <c r="D15" s="13">
        <f t="shared" si="2"/>
        <v>56783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IFERROR(VLOOKUP(A16,[4]Opolski!$A$7:$D$100,4,FALSE),0)</f>
        <v>55170</v>
      </c>
      <c r="D16" s="13">
        <f t="shared" si="2"/>
        <v>55170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IFERROR(VLOOKUP(A17,[4]Opolski!$A$7:$D$100,4,FALSE),0)</f>
        <v>18832</v>
      </c>
      <c r="D17" s="13">
        <f t="shared" si="2"/>
        <v>18832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IFERROR(VLOOKUP(A18,[4]Opolski!$A$7:$D$100,4,FALSE),0)</f>
        <v>45396</v>
      </c>
      <c r="D18" s="13">
        <f t="shared" si="2"/>
        <v>45396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IFERROR(VLOOKUP(A19,[4]Opolski!$A$7:$D$100,4,FALSE),0)</f>
        <v>12700</v>
      </c>
      <c r="D19" s="13">
        <f t="shared" si="2"/>
        <v>12700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IFERROR(VLOOKUP(A20,[4]Opolski!$A$7:$D$100,4,FALSE),0)</f>
        <v>1349</v>
      </c>
      <c r="D20" s="13">
        <f t="shared" si="2"/>
        <v>1349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IFERROR(VLOOKUP(A21,[4]Opolski!$A$7:$D$100,4,FALSE),0)</f>
        <v>5329</v>
      </c>
      <c r="D21" s="13">
        <f t="shared" si="2"/>
        <v>5329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IFERROR(VLOOKUP(A22,[4]Opolski!$A$7:$D$100,4,FALSE),0)</f>
        <v>49239</v>
      </c>
      <c r="D22" s="13">
        <f t="shared" si="2"/>
        <v>49239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IFERROR(VLOOKUP(A23,[4]Opolski!$A$7:$D$100,4,FALSE),0)</f>
        <v>28375</v>
      </c>
      <c r="D23" s="13">
        <f t="shared" si="2"/>
        <v>28375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IFERROR(VLOOKUP(A24,[4]Opolski!$A$7:$D$100,4,FALSE),0)</f>
        <v>201107</v>
      </c>
      <c r="D24" s="31">
        <f>SUM(D25:D27)</f>
        <v>201107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IFERROR(VLOOKUP(A25,[4]Opolski!$A$7:$D$100,4,FALSE),0)</f>
        <v>200290</v>
      </c>
      <c r="D25" s="13">
        <f t="shared" si="2"/>
        <v>200290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IFERROR(VLOOKUP(A26,[4]Opolski!$A$7:$D$100,4,FALSE),0)</f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IFERROR(VLOOKUP(A27,[4]Opolski!$A$7:$D$100,4,FALSE),0)</f>
        <v>217</v>
      </c>
      <c r="D27" s="13">
        <f t="shared" si="2"/>
        <v>217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IFERROR(VLOOKUP(A29,[4]Opolski!$A$7:$D$100,4,FALSE),0)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IFERROR(VLOOKUP(A32,[4]Opolski!$A$7:$D$100,4,FALSE),0)</f>
        <v>11955</v>
      </c>
      <c r="D32" s="13">
        <f t="shared" si="2"/>
        <v>11955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IFERROR(VLOOKUP(A34,[4]Opolski!$A$7:$D$100,4,FALSE),0)</f>
        <v>420</v>
      </c>
      <c r="D34" s="13">
        <f t="shared" si="2"/>
        <v>420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IFERROR(VLOOKUP(A35,[4]Opolski!$A$7:$D$100,4,FALSE),0)</f>
        <v>20</v>
      </c>
      <c r="D35" s="37">
        <f>C35</f>
        <v>20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IFERROR(VLOOKUP(A36,[4]Opolski!$A$7:$D$100,4,FALSE),0)</f>
        <v>54177</v>
      </c>
      <c r="D36" s="37">
        <f>C36</f>
        <v>54177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IFERROR(VLOOKUP(A37,[4]Opolski!$A$7:$D$100,4,FALSE),0)</f>
        <v>16042</v>
      </c>
      <c r="D37" s="37">
        <f>C37</f>
        <v>16042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281621</v>
      </c>
      <c r="D38" s="32">
        <f>D11+D13+D24+D30</f>
        <v>281621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16136</v>
      </c>
      <c r="D39" s="87">
        <f>D40+D41+D42+D50+D52+D58+D59+D57</f>
        <v>16136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IFERROR(VLOOKUP(A40,[4]Opolski!$A$7:$D$100,4,FALSE),0)</f>
        <v>787</v>
      </c>
      <c r="D40" s="33">
        <f>C40</f>
        <v>787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IFERROR(VLOOKUP(A41,[4]Opolski!$A$7:$D$100,4,FALSE),0)</f>
        <v>2205</v>
      </c>
      <c r="D41" s="33">
        <f t="shared" ref="D41:D59" si="3">C41</f>
        <v>2205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174</v>
      </c>
      <c r="D42" s="33">
        <f>D43+D45+D46+D47+D48+D49</f>
        <v>174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IFERROR(VLOOKUP(A43,[4]Opolski!$A$7:$D$100,4,FALSE),0)</f>
        <v>0</v>
      </c>
      <c r="D43" s="33">
        <f t="shared" si="3"/>
        <v>0</v>
      </c>
      <c r="E43" s="38" t="str">
        <f t="shared" si="0"/>
        <v>-</v>
      </c>
      <c r="F43" s="39" t="str">
        <f t="shared" si="1"/>
        <v>-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IFERROR(VLOOKUP(A44,[4]Opolski!$A$7:$D$100,4,FALSE),0)</f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IFERROR(VLOOKUP(A45,[4]Opolski!$A$7:$D$100,4,FALSE),0)</f>
        <v>8</v>
      </c>
      <c r="D45" s="33">
        <f t="shared" si="3"/>
        <v>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IFERROR(VLOOKUP(A46,[4]Opolski!$A$7:$D$100,4,FALSE),0)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IFERROR(VLOOKUP(A47,[4]Opolski!$A$7:$D$100,4,FALSE),0)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IFERROR(VLOOKUP(A48,[4]Opolski!$A$7:$D$100,4,FALSE),0)</f>
        <v>160</v>
      </c>
      <c r="D48" s="33">
        <f t="shared" si="3"/>
        <v>160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IFERROR(VLOOKUP(A49,[4]Opolski!$A$7:$D$100,4,FALSE),0)</f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IFERROR(VLOOKUP(A50,[4]Opolski!$A$7:$D$100,4,FALSE),0)</f>
        <v>9284</v>
      </c>
      <c r="D50" s="33">
        <f t="shared" si="3"/>
        <v>9284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IFERROR(VLOOKUP(A51,[4]Opolski!$A$7:$D$100,4,FALSE),0)</f>
        <v>26</v>
      </c>
      <c r="D51" s="33">
        <f t="shared" si="3"/>
        <v>26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2085</v>
      </c>
      <c r="D52" s="29">
        <f>D53+D54+D55+D56</f>
        <v>2085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IFERROR(VLOOKUP(A53,[4]Opolski!$A$7:$D$100,4,FALSE),0)</f>
        <v>1592</v>
      </c>
      <c r="D53" s="33">
        <f t="shared" si="3"/>
        <v>1592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IFERROR(VLOOKUP(A54,[4]Opolski!$A$7:$D$100,4,FALSE),0)</f>
        <v>227</v>
      </c>
      <c r="D54" s="33">
        <f t="shared" si="3"/>
        <v>227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IFERROR(VLOOKUP(A55,[4]Opolski!$A$7:$D$100,4,FALSE),0)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IFERROR(VLOOKUP(A56,[4]Opolski!$A$7:$D$100,4,FALSE),0)</f>
        <v>266</v>
      </c>
      <c r="D56" s="33">
        <f t="shared" si="3"/>
        <v>266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IFERROR(VLOOKUP(A57,[4]Opolski!$A$7:$D$100,4,FALSE),0)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IFERROR(VLOOKUP(A58,[4]Opolski!$A$7:$D$100,4,FALSE),0)</f>
        <v>1435</v>
      </c>
      <c r="D58" s="33">
        <f t="shared" si="3"/>
        <v>1435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IFERROR(VLOOKUP(A59,[4]Opolski!$A$7:$D$100,4,FALSE),0)</f>
        <v>166</v>
      </c>
      <c r="D59" s="33">
        <f t="shared" si="3"/>
        <v>166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7720</v>
      </c>
      <c r="D60" s="107">
        <f>D61+D62+D63+D64</f>
        <v>9423</v>
      </c>
      <c r="E60" s="83">
        <f t="shared" si="0"/>
        <v>1703</v>
      </c>
      <c r="F60" s="108">
        <f t="shared" si="1"/>
        <v>1.2205999999999999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IFERROR(VLOOKUP(A61,[4]Opolski!$A$7:$D$100,4,FALSE),0)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IFERROR(VLOOKUP(A62,[4]Opolski!$A$7:$D$100,4,FALSE),0)</f>
        <v>5700</v>
      </c>
      <c r="D62" s="33">
        <f>C62+3323</f>
        <v>9023</v>
      </c>
      <c r="E62" s="29">
        <f t="shared" si="0"/>
        <v>3323</v>
      </c>
      <c r="F62" s="39">
        <f t="shared" si="1"/>
        <v>1.583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IFERROR(VLOOKUP(A63,[4]Opolski!$A$7:$D$100,4,FALSE),0)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IFERROR(VLOOKUP(A64,[4]Opolski!$A$7:$D$100,4,FALSE),0)</f>
        <v>2020</v>
      </c>
      <c r="D64" s="33">
        <f>C64-1620</f>
        <v>400</v>
      </c>
      <c r="E64" s="29">
        <f t="shared" si="0"/>
        <v>-1620</v>
      </c>
      <c r="F64" s="39">
        <f t="shared" si="1"/>
        <v>0.19800000000000001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IFERROR(VLOOKUP(A65,[4]Opolski!$A$7:$D$100,4,FALSE),0)</f>
        <v>1238</v>
      </c>
      <c r="D65" s="107">
        <f>C65-207+50</f>
        <v>1081</v>
      </c>
      <c r="E65" s="83">
        <f t="shared" si="0"/>
        <v>-157</v>
      </c>
      <c r="F65" s="108">
        <f t="shared" si="1"/>
        <v>0.87319999999999998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68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4020362</v>
      </c>
      <c r="D6" s="102">
        <f>D7+D8+D9+D14+D15+D16+D17+D18+D19+D20+D21+D22+D23+D24+D28+D29+D31+D32+D33+D34</f>
        <v>4034186</v>
      </c>
      <c r="E6" s="83">
        <f>IF(C6=D6,"-",D6-C6)</f>
        <v>13824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IFERROR(VLOOKUP(A7,[4]Podkarpacki!$A$7:$D$100,4,FALSE),0)</f>
        <v>538961</v>
      </c>
      <c r="D7" s="13">
        <f>C7</f>
        <v>538961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IFERROR(VLOOKUP(A8,[4]Podkarpacki!$A$7:$D$100,4,FALSE),0)</f>
        <v>293575</v>
      </c>
      <c r="D8" s="13">
        <f>C8</f>
        <v>293575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IFERROR(VLOOKUP(A9,[4]Podkarpacki!$A$7:$D$100,4,FALSE),0)</f>
        <v>2004594</v>
      </c>
      <c r="D9" s="13">
        <f>C9+13824</f>
        <v>2018418</v>
      </c>
      <c r="E9" s="38">
        <f t="shared" si="0"/>
        <v>13824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IFERROR(VLOOKUP(A10,[4]Podkarpacki!$A$7:$D$100,4,FALSE),0)</f>
        <v>192335</v>
      </c>
      <c r="D10" s="13">
        <f t="shared" ref="D10:D34" si="2">C10</f>
        <v>192335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IFERROR(VLOOKUP(A11,[4]Podkarpacki!$A$7:$D$100,4,FALSE),0)</f>
        <v>175767</v>
      </c>
      <c r="D11" s="13">
        <f t="shared" si="2"/>
        <v>175767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IFERROR(VLOOKUP(A12,[4]Podkarpacki!$A$7:$D$100,4,FALSE),0)</f>
        <v>76689</v>
      </c>
      <c r="D12" s="13">
        <f t="shared" si="2"/>
        <v>76689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IFERROR(VLOOKUP(A13,[4]Podkarpacki!$A$7:$D$100,4,FALSE),0)</f>
        <v>37646</v>
      </c>
      <c r="D13" s="13">
        <f t="shared" si="2"/>
        <v>37646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IFERROR(VLOOKUP(A14,[4]Podkarpacki!$A$7:$D$100,4,FALSE),0)</f>
        <v>128032</v>
      </c>
      <c r="D14" s="13">
        <f t="shared" si="2"/>
        <v>128032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IFERROR(VLOOKUP(A15,[4]Podkarpacki!$A$7:$D$100,4,FALSE),0)</f>
        <v>149209</v>
      </c>
      <c r="D15" s="13">
        <f t="shared" si="2"/>
        <v>149209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IFERROR(VLOOKUP(A16,[4]Podkarpacki!$A$7:$D$100,4,FALSE),0)</f>
        <v>114313</v>
      </c>
      <c r="D16" s="13">
        <f t="shared" si="2"/>
        <v>114313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IFERROR(VLOOKUP(A17,[4]Podkarpacki!$A$7:$D$100,4,FALSE),0)</f>
        <v>44884</v>
      </c>
      <c r="D17" s="13">
        <f t="shared" si="2"/>
        <v>44884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IFERROR(VLOOKUP(A18,[4]Podkarpacki!$A$7:$D$100,4,FALSE),0)</f>
        <v>113344</v>
      </c>
      <c r="D18" s="13">
        <f t="shared" si="2"/>
        <v>113344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IFERROR(VLOOKUP(A19,[4]Podkarpacki!$A$7:$D$100,4,FALSE),0)</f>
        <v>34670</v>
      </c>
      <c r="D19" s="13">
        <f t="shared" si="2"/>
        <v>34670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IFERROR(VLOOKUP(A20,[4]Podkarpacki!$A$7:$D$100,4,FALSE),0)</f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IFERROR(VLOOKUP(A21,[4]Podkarpacki!$A$7:$D$100,4,FALSE),0)</f>
        <v>8056</v>
      </c>
      <c r="D21" s="13">
        <f t="shared" si="2"/>
        <v>8056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IFERROR(VLOOKUP(A22,[4]Podkarpacki!$A$7:$D$100,4,FALSE),0)</f>
        <v>103857</v>
      </c>
      <c r="D22" s="13">
        <f t="shared" si="2"/>
        <v>103857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IFERROR(VLOOKUP(A23,[4]Podkarpacki!$A$7:$D$100,4,FALSE),0)</f>
        <v>56447</v>
      </c>
      <c r="D23" s="13">
        <f t="shared" si="2"/>
        <v>56447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IFERROR(VLOOKUP(A24,[4]Podkarpacki!$A$7:$D$100,4,FALSE),0)</f>
        <v>392552</v>
      </c>
      <c r="D24" s="31">
        <f>SUM(D25:D27)</f>
        <v>392552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IFERROR(VLOOKUP(A25,[4]Podkarpacki!$A$7:$D$100,4,FALSE),0)</f>
        <v>389052</v>
      </c>
      <c r="D25" s="13">
        <f t="shared" si="2"/>
        <v>389052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IFERROR(VLOOKUP(A26,[4]Podkarpacki!$A$7:$D$100,4,FALSE),0)</f>
        <v>2500</v>
      </c>
      <c r="D26" s="13">
        <f t="shared" si="2"/>
        <v>2500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IFERROR(VLOOKUP(A27,[4]Podkarpacki!$A$7:$D$100,4,FALSE),0)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IFERROR(VLOOKUP(A28,[4]Podkarpacki!$A$7:$D$100,4,FALSE),0)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IFERROR(VLOOKUP(A29,[4]Podkarpacki!$A$7:$D$100,4,FALSE),0)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IFERROR(VLOOKUP(A30,[4]Podkarpacki!$A$7:$D$100,4,FALSE),0)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IFERROR(VLOOKUP(A31,[4]Podkarpacki!$A$7:$D$100,4,FALSE),0)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IFERROR(VLOOKUP(A32,[4]Podkarpacki!$A$7:$D$100,4,FALSE),0)</f>
        <v>28013</v>
      </c>
      <c r="D32" s="13">
        <f t="shared" si="2"/>
        <v>28013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IFERROR(VLOOKUP(A33,[4]Podkarpacki!$A$7:$D$100,4,FALSE),0)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IFERROR(VLOOKUP(A34,[4]Podkarpacki!$A$7:$D$100,4,FALSE),0)</f>
        <v>6569</v>
      </c>
      <c r="D34" s="13">
        <f t="shared" si="2"/>
        <v>6569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IFERROR(VLOOKUP(A35,[4]Podkarpacki!$A$7:$D$100,4,FALSE),0)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IFERROR(VLOOKUP(A36,[4]Podkarpacki!$A$7:$D$100,4,FALSE),0)</f>
        <v>111484</v>
      </c>
      <c r="D36" s="37">
        <f>C36</f>
        <v>111484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IFERROR(VLOOKUP(A37,[4]Podkarpacki!$A$7:$D$100,4,FALSE),0)</f>
        <v>26759</v>
      </c>
      <c r="D37" s="37">
        <f>C37</f>
        <v>26759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605965</v>
      </c>
      <c r="D38" s="32">
        <f>D11+D13+D24+D30</f>
        <v>605965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25858</v>
      </c>
      <c r="D39" s="87">
        <f>D40+D41+D42+D50+D52+D58+D59+D57</f>
        <v>25858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IFERROR(VLOOKUP(A40,[4]Podkarpacki!$A$7:$D$100,4,FALSE),0)</f>
        <v>1350</v>
      </c>
      <c r="D40" s="33">
        <f>C40</f>
        <v>1350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IFERROR(VLOOKUP(A41,[4]Podkarpacki!$A$7:$D$100,4,FALSE),0)</f>
        <v>2816</v>
      </c>
      <c r="D41" s="33">
        <f t="shared" ref="D41:D59" si="3">C41</f>
        <v>2816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119</v>
      </c>
      <c r="D42" s="33">
        <f>D43+D45+D46+D47+D48+D49</f>
        <v>119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IFERROR(VLOOKUP(A43,[4]Podkarpacki!$A$7:$D$100,4,FALSE),0)</f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IFERROR(VLOOKUP(A44,[4]Podkarpacki!$A$7:$D$100,4,FALSE),0)</f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IFERROR(VLOOKUP(A45,[4]Podkarpacki!$A$7:$D$100,4,FALSE),0)</f>
        <v>13</v>
      </c>
      <c r="D45" s="33">
        <f t="shared" si="3"/>
        <v>13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IFERROR(VLOOKUP(A46,[4]Podkarpacki!$A$7:$D$100,4,FALSE),0)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IFERROR(VLOOKUP(A47,[4]Podkarpacki!$A$7:$D$100,4,FALSE),0)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IFERROR(VLOOKUP(A48,[4]Podkarpacki!$A$7:$D$100,4,FALSE),0)</f>
        <v>43</v>
      </c>
      <c r="D48" s="33">
        <f t="shared" si="3"/>
        <v>43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IFERROR(VLOOKUP(A49,[4]Podkarpacki!$A$7:$D$100,4,FALSE),0)</f>
        <v>36</v>
      </c>
      <c r="D49" s="33">
        <f t="shared" si="3"/>
        <v>36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IFERROR(VLOOKUP(A50,[4]Podkarpacki!$A$7:$D$100,4,FALSE),0)</f>
        <v>14538</v>
      </c>
      <c r="D50" s="33">
        <f t="shared" si="3"/>
        <v>14538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IFERROR(VLOOKUP(A51,[4]Podkarpacki!$A$7:$D$100,4,FALSE),0)</f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3268</v>
      </c>
      <c r="D52" s="29">
        <f>D53+D54+D55+D56</f>
        <v>3268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IFERROR(VLOOKUP(A53,[4]Podkarpacki!$A$7:$D$100,4,FALSE),0)</f>
        <v>2493</v>
      </c>
      <c r="D53" s="33">
        <f t="shared" si="3"/>
        <v>2493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IFERROR(VLOOKUP(A54,[4]Podkarpacki!$A$7:$D$100,4,FALSE),0)</f>
        <v>356</v>
      </c>
      <c r="D54" s="33">
        <f t="shared" si="3"/>
        <v>356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IFERROR(VLOOKUP(A55,[4]Podkarpacki!$A$7:$D$100,4,FALSE),0)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IFERROR(VLOOKUP(A56,[4]Podkarpacki!$A$7:$D$100,4,FALSE),0)</f>
        <v>419</v>
      </c>
      <c r="D56" s="33">
        <f t="shared" si="3"/>
        <v>419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IFERROR(VLOOKUP(A57,[4]Podkarpacki!$A$7:$D$100,4,FALSE),0)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IFERROR(VLOOKUP(A58,[4]Podkarpacki!$A$7:$D$100,4,FALSE),0)</f>
        <v>3500</v>
      </c>
      <c r="D58" s="33">
        <f t="shared" si="3"/>
        <v>3500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IFERROR(VLOOKUP(A59,[4]Podkarpacki!$A$7:$D$100,4,FALSE),0)</f>
        <v>267</v>
      </c>
      <c r="D59" s="33">
        <f t="shared" si="3"/>
        <v>267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4000</v>
      </c>
      <c r="D60" s="107">
        <f>D61+D62+D63+D64</f>
        <v>5015</v>
      </c>
      <c r="E60" s="83">
        <f t="shared" si="0"/>
        <v>1015</v>
      </c>
      <c r="F60" s="108">
        <f t="shared" si="1"/>
        <v>1.2538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IFERROR(VLOOKUP(A61,[4]Podkarpacki!$A$7:$D$100,4,FALSE),0)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IFERROR(VLOOKUP(A62,[4]Podkarpacki!$A$7:$D$100,4,FALSE),0)</f>
        <v>3000</v>
      </c>
      <c r="D62" s="33">
        <f>C62-2985</f>
        <v>15</v>
      </c>
      <c r="E62" s="29">
        <f t="shared" si="0"/>
        <v>-2985</v>
      </c>
      <c r="F62" s="39">
        <f t="shared" si="1"/>
        <v>5.0000000000000001E-3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IFERROR(VLOOKUP(A63,[4]Podkarpacki!$A$7:$D$100,4,FALSE),0)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IFERROR(VLOOKUP(A64,[4]Podkarpacki!$A$7:$D$100,4,FALSE),0)</f>
        <v>1000</v>
      </c>
      <c r="D64" s="33">
        <f>C64+4000</f>
        <v>5000</v>
      </c>
      <c r="E64" s="29">
        <f t="shared" si="0"/>
        <v>4000</v>
      </c>
      <c r="F64" s="39">
        <f t="shared" si="1"/>
        <v>5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IFERROR(VLOOKUP(A65,[4]Podkarpacki!$A$7:$D$100,4,FALSE),0)</f>
        <v>810</v>
      </c>
      <c r="D65" s="107">
        <f>C65-610</f>
        <v>200</v>
      </c>
      <c r="E65" s="83">
        <f t="shared" si="0"/>
        <v>-610</v>
      </c>
      <c r="F65" s="108">
        <f t="shared" si="1"/>
        <v>0.24690000000000001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69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2285875</v>
      </c>
      <c r="D6" s="102">
        <f>D7+D8+D9+D14+D15+D16+D17+D18+D19+D20+D21+D22+D23+D24+D28+D29+D31+D32+D33+D34</f>
        <v>2293725</v>
      </c>
      <c r="E6" s="83">
        <f>IF(C6=D6,"-",D6-C6)</f>
        <v>7850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IFERROR(VLOOKUP(A7,[4]Podlaski!$A$7:$D$100,4,FALSE),0)</f>
        <v>305100</v>
      </c>
      <c r="D7" s="13">
        <f>C7</f>
        <v>305100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IFERROR(VLOOKUP(A8,[4]Podlaski!$A$7:$D$100,4,FALSE),0)</f>
        <v>191325</v>
      </c>
      <c r="D8" s="13">
        <f>C8</f>
        <v>191325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IFERROR(VLOOKUP(A9,[4]Podlaski!$A$7:$D$100,4,FALSE),0)</f>
        <v>1170078</v>
      </c>
      <c r="D9" s="13">
        <f>C9+7850</f>
        <v>1177928</v>
      </c>
      <c r="E9" s="38">
        <f t="shared" si="0"/>
        <v>7850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IFERROR(VLOOKUP(A10,[4]Podlaski!$A$7:$D$100,4,FALSE),0)</f>
        <v>93128</v>
      </c>
      <c r="D10" s="13">
        <f t="shared" ref="D10:D34" si="2">C10</f>
        <v>93128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IFERROR(VLOOKUP(A11,[4]Podlaski!$A$7:$D$100,4,FALSE),0)</f>
        <v>83965</v>
      </c>
      <c r="D11" s="13">
        <f t="shared" si="2"/>
        <v>83965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IFERROR(VLOOKUP(A12,[4]Podlaski!$A$7:$D$100,4,FALSE),0)</f>
        <v>47056</v>
      </c>
      <c r="D12" s="13">
        <f t="shared" si="2"/>
        <v>47056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IFERROR(VLOOKUP(A13,[4]Podlaski!$A$7:$D$100,4,FALSE),0)</f>
        <v>24019</v>
      </c>
      <c r="D13" s="13">
        <f t="shared" si="2"/>
        <v>24019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IFERROR(VLOOKUP(A14,[4]Podlaski!$A$7:$D$100,4,FALSE),0)</f>
        <v>89200</v>
      </c>
      <c r="D14" s="13">
        <f t="shared" si="2"/>
        <v>89200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IFERROR(VLOOKUP(A15,[4]Podlaski!$A$7:$D$100,4,FALSE),0)</f>
        <v>62500</v>
      </c>
      <c r="D15" s="13">
        <f t="shared" si="2"/>
        <v>62500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IFERROR(VLOOKUP(A16,[4]Podlaski!$A$7:$D$100,4,FALSE),0)</f>
        <v>36500</v>
      </c>
      <c r="D16" s="13">
        <f t="shared" si="2"/>
        <v>36500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IFERROR(VLOOKUP(A17,[4]Podlaski!$A$7:$D$100,4,FALSE),0)</f>
        <v>19400</v>
      </c>
      <c r="D17" s="13">
        <f t="shared" si="2"/>
        <v>19400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IFERROR(VLOOKUP(A18,[4]Podlaski!$A$7:$D$100,4,FALSE),0)</f>
        <v>63800</v>
      </c>
      <c r="D18" s="13">
        <f t="shared" si="2"/>
        <v>63800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IFERROR(VLOOKUP(A19,[4]Podlaski!$A$7:$D$100,4,FALSE),0)</f>
        <v>20500</v>
      </c>
      <c r="D19" s="13">
        <f t="shared" si="2"/>
        <v>20500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IFERROR(VLOOKUP(A20,[4]Podlaski!$A$7:$D$100,4,FALSE),0)</f>
        <v>1555</v>
      </c>
      <c r="D20" s="13">
        <f t="shared" si="2"/>
        <v>1555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IFERROR(VLOOKUP(A21,[4]Podlaski!$A$7:$D$100,4,FALSE),0)</f>
        <v>4850</v>
      </c>
      <c r="D21" s="13">
        <f t="shared" si="2"/>
        <v>4850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IFERROR(VLOOKUP(A22,[4]Podlaski!$A$7:$D$100,4,FALSE),0)</f>
        <v>64800</v>
      </c>
      <c r="D22" s="13">
        <f t="shared" si="2"/>
        <v>64800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IFERROR(VLOOKUP(A23,[4]Podlaski!$A$7:$D$100,4,FALSE),0)</f>
        <v>29600</v>
      </c>
      <c r="D23" s="13">
        <f t="shared" si="2"/>
        <v>29600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IFERROR(VLOOKUP(A24,[4]Podlaski!$A$7:$D$100,4,FALSE),0)</f>
        <v>226367</v>
      </c>
      <c r="D24" s="31">
        <f>SUM(D25:D27)</f>
        <v>226367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IFERROR(VLOOKUP(A25,[4]Podlaski!$A$7:$D$100,4,FALSE),0)</f>
        <v>224257</v>
      </c>
      <c r="D25" s="13">
        <f t="shared" si="2"/>
        <v>224257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IFERROR(VLOOKUP(A26,[4]Podlaski!$A$7:$D$100,4,FALSE),0)</f>
        <v>1550</v>
      </c>
      <c r="D26" s="13">
        <f t="shared" si="2"/>
        <v>1550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IFERROR(VLOOKUP(A27,[4]Podlaski!$A$7:$D$100,4,FALSE),0)</f>
        <v>560</v>
      </c>
      <c r="D27" s="13">
        <f t="shared" si="2"/>
        <v>560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IFERROR(VLOOKUP(A28,[4]Podlaski!$A$7:$D$100,4,FALSE),0)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IFERROR(VLOOKUP(A29,[4]Podlaski!$A$7:$D$100,4,FALSE),0)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IFERROR(VLOOKUP(A30,[4]Podlaski!$A$7:$D$100,4,FALSE),0)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IFERROR(VLOOKUP(A31,[4]Podlaski!$A$7:$D$100,4,FALSE),0)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IFERROR(VLOOKUP(A32,[4]Podlaski!$A$7:$D$100,4,FALSE),0)</f>
        <v>300</v>
      </c>
      <c r="D32" s="13">
        <f t="shared" si="2"/>
        <v>300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IFERROR(VLOOKUP(A33,[4]Podlaski!$A$7:$D$100,4,FALSE),0)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IFERROR(VLOOKUP(A34,[4]Podlaski!$A$7:$D$100,4,FALSE),0)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IFERROR(VLOOKUP(A35,[4]Podlaski!$A$7:$D$100,4,FALSE),0)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IFERROR(VLOOKUP(A36,[4]Podlaski!$A$7:$D$100,4,FALSE),0)</f>
        <v>71925</v>
      </c>
      <c r="D36" s="37">
        <f>C36</f>
        <v>71925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IFERROR(VLOOKUP(A37,[4]Podlaski!$A$7:$D$100,4,FALSE),0)</f>
        <v>16771</v>
      </c>
      <c r="D37" s="37">
        <f>C37</f>
        <v>16771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334351</v>
      </c>
      <c r="D38" s="32">
        <f>D11+D13+D24+D30</f>
        <v>334351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17784</v>
      </c>
      <c r="D39" s="87">
        <f>D40+D41+D42+D50+D52+D58+D59+D57</f>
        <v>17784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IFERROR(VLOOKUP(A40,[4]Podlaski!$A$7:$D$100,4,FALSE),0)</f>
        <v>599</v>
      </c>
      <c r="D40" s="33">
        <f>C40</f>
        <v>599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IFERROR(VLOOKUP(A41,[4]Podlaski!$A$7:$D$100,4,FALSE),0)</f>
        <v>1100</v>
      </c>
      <c r="D41" s="33">
        <f t="shared" ref="D41:D59" si="3">C41</f>
        <v>1100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246</v>
      </c>
      <c r="D42" s="33">
        <f>D43+D45+D46+D47+D48+D49</f>
        <v>246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IFERROR(VLOOKUP(A43,[4]Podlaski!$A$7:$D$100,4,FALSE),0)</f>
        <v>19</v>
      </c>
      <c r="D43" s="33">
        <f t="shared" si="3"/>
        <v>19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IFERROR(VLOOKUP(A44,[4]Podlaski!$A$7:$D$100,4,FALSE),0)</f>
        <v>19</v>
      </c>
      <c r="D44" s="33">
        <f t="shared" si="3"/>
        <v>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IFERROR(VLOOKUP(A45,[4]Podlaski!$A$7:$D$100,4,FALSE),0)</f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IFERROR(VLOOKUP(A46,[4]Podlaski!$A$7:$D$100,4,FALSE),0)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IFERROR(VLOOKUP(A47,[4]Podlaski!$A$7:$D$100,4,FALSE),0)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IFERROR(VLOOKUP(A48,[4]Podlaski!$A$7:$D$100,4,FALSE),0)</f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IFERROR(VLOOKUP(A49,[4]Podlaski!$A$7:$D$100,4,FALSE),0)</f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IFERROR(VLOOKUP(A50,[4]Podlaski!$A$7:$D$100,4,FALSE),0)</f>
        <v>10289</v>
      </c>
      <c r="D50" s="33">
        <f t="shared" si="3"/>
        <v>10289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IFERROR(VLOOKUP(A51,[4]Podlaski!$A$7:$D$100,4,FALSE),0)</f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2317</v>
      </c>
      <c r="D52" s="29">
        <f>D53+D54+D55+D56</f>
        <v>2317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IFERROR(VLOOKUP(A53,[4]Podlaski!$A$7:$D$100,4,FALSE),0)</f>
        <v>1760</v>
      </c>
      <c r="D53" s="33">
        <f t="shared" si="3"/>
        <v>1760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IFERROR(VLOOKUP(A54,[4]Podlaski!$A$7:$D$100,4,FALSE),0)</f>
        <v>231</v>
      </c>
      <c r="D54" s="33">
        <f t="shared" si="3"/>
        <v>231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IFERROR(VLOOKUP(A55,[4]Podlaski!$A$7:$D$100,4,FALSE),0)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IFERROR(VLOOKUP(A56,[4]Podlaski!$A$7:$D$100,4,FALSE),0)</f>
        <v>326</v>
      </c>
      <c r="D56" s="33">
        <f t="shared" si="3"/>
        <v>326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IFERROR(VLOOKUP(A57,[4]Podlaski!$A$7:$D$100,4,FALSE),0)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IFERROR(VLOOKUP(A58,[4]Podlaski!$A$7:$D$100,4,FALSE),0)</f>
        <v>3088</v>
      </c>
      <c r="D58" s="33">
        <f t="shared" si="3"/>
        <v>3088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IFERROR(VLOOKUP(A59,[4]Podlaski!$A$7:$D$100,4,FALSE),0)</f>
        <v>145</v>
      </c>
      <c r="D59" s="33">
        <f t="shared" si="3"/>
        <v>145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2289</v>
      </c>
      <c r="D60" s="107">
        <f>D61+D62+D63+D64</f>
        <v>1085</v>
      </c>
      <c r="E60" s="83">
        <f t="shared" si="0"/>
        <v>-1204</v>
      </c>
      <c r="F60" s="108">
        <f t="shared" si="1"/>
        <v>0.47399999999999998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IFERROR(VLOOKUP(A61,[4]Podlaski!$A$7:$D$100,4,FALSE),0)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IFERROR(VLOOKUP(A62,[4]Podlaski!$A$7:$D$100,4,FALSE),0)</f>
        <v>1110</v>
      </c>
      <c r="D62" s="33">
        <f>C62-475</f>
        <v>635</v>
      </c>
      <c r="E62" s="29">
        <f t="shared" si="0"/>
        <v>-475</v>
      </c>
      <c r="F62" s="39">
        <f t="shared" si="1"/>
        <v>0.57210000000000005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IFERROR(VLOOKUP(A63,[4]Podlaski!$A$7:$D$100,4,FALSE),0)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IFERROR(VLOOKUP(A64,[4]Podlaski!$A$7:$D$100,4,FALSE),0)</f>
        <v>1179</v>
      </c>
      <c r="D64" s="33">
        <f>C64-729</f>
        <v>450</v>
      </c>
      <c r="E64" s="29">
        <f t="shared" si="0"/>
        <v>-729</v>
      </c>
      <c r="F64" s="39">
        <f t="shared" si="1"/>
        <v>0.38169999999999998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IFERROR(VLOOKUP(A65,[4]Podlaski!$A$7:$D$100,4,FALSE),0)</f>
        <v>372</v>
      </c>
      <c r="D65" s="107">
        <f>C65-132</f>
        <v>240</v>
      </c>
      <c r="E65" s="83">
        <f t="shared" si="0"/>
        <v>-132</v>
      </c>
      <c r="F65" s="108">
        <f t="shared" si="1"/>
        <v>0.6452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4400884</v>
      </c>
      <c r="D6" s="102">
        <f>D7+D8+D9+D14+D15+D16+D17+D18+D19+D20+D21+D22+D23+D24+D28+D29+D31+D32+D33+D34</f>
        <v>4415916</v>
      </c>
      <c r="E6" s="83">
        <f>IF(C6=D6,"-",D6-C6)</f>
        <v>15032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IFERROR(VLOOKUP(A7,[4]Pomorski!$A$7:$D$100,4,FALSE),0)</f>
        <v>617768</v>
      </c>
      <c r="D7" s="13">
        <f>C7</f>
        <v>617768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IFERROR(VLOOKUP(A8,[4]Pomorski!$A$7:$D$100,4,FALSE),0)</f>
        <v>339544</v>
      </c>
      <c r="D8" s="13">
        <f>C8</f>
        <v>339544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IFERROR(VLOOKUP(A9,[4]Pomorski!$A$7:$D$100,4,FALSE),0)</f>
        <v>2196114</v>
      </c>
      <c r="D9" s="13">
        <f>C9+15032</f>
        <v>2211146</v>
      </c>
      <c r="E9" s="38">
        <f t="shared" si="0"/>
        <v>15032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IFERROR(VLOOKUP(A10,[4]Pomorski!$A$7:$D$100,4,FALSE),0)</f>
        <v>218332</v>
      </c>
      <c r="D10" s="13">
        <f t="shared" ref="D10:D34" si="2">C10</f>
        <v>218332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IFERROR(VLOOKUP(A11,[4]Pomorski!$A$7:$D$100,4,FALSE),0)</f>
        <v>201971</v>
      </c>
      <c r="D11" s="13">
        <f t="shared" si="2"/>
        <v>201971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IFERROR(VLOOKUP(A12,[4]Pomorski!$A$7:$D$100,4,FALSE),0)</f>
        <v>84376</v>
      </c>
      <c r="D12" s="13">
        <f t="shared" si="2"/>
        <v>84376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IFERROR(VLOOKUP(A13,[4]Pomorski!$A$7:$D$100,4,FALSE),0)</f>
        <v>47986</v>
      </c>
      <c r="D13" s="13">
        <f t="shared" si="2"/>
        <v>47986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IFERROR(VLOOKUP(A14,[4]Pomorski!$A$7:$D$100,4,FALSE),0)</f>
        <v>165587</v>
      </c>
      <c r="D14" s="13">
        <f t="shared" si="2"/>
        <v>165587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IFERROR(VLOOKUP(A15,[4]Pomorski!$A$7:$D$100,4,FALSE),0)</f>
        <v>121520</v>
      </c>
      <c r="D15" s="13">
        <f t="shared" si="2"/>
        <v>121520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IFERROR(VLOOKUP(A16,[4]Pomorski!$A$7:$D$100,4,FALSE),0)</f>
        <v>52831</v>
      </c>
      <c r="D16" s="13">
        <f t="shared" si="2"/>
        <v>52831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IFERROR(VLOOKUP(A17,[4]Pomorski!$A$7:$D$100,4,FALSE),0)</f>
        <v>41510</v>
      </c>
      <c r="D17" s="13">
        <f t="shared" si="2"/>
        <v>41510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IFERROR(VLOOKUP(A18,[4]Pomorski!$A$7:$D$100,4,FALSE),0)</f>
        <v>109535</v>
      </c>
      <c r="D18" s="13">
        <f t="shared" si="2"/>
        <v>109535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IFERROR(VLOOKUP(A19,[4]Pomorski!$A$7:$D$100,4,FALSE),0)</f>
        <v>27649</v>
      </c>
      <c r="D19" s="13">
        <f t="shared" si="2"/>
        <v>27649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IFERROR(VLOOKUP(A20,[4]Pomorski!$A$7:$D$100,4,FALSE),0)</f>
        <v>1504</v>
      </c>
      <c r="D20" s="13">
        <f t="shared" si="2"/>
        <v>1504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IFERROR(VLOOKUP(A21,[4]Pomorski!$A$7:$D$100,4,FALSE),0)</f>
        <v>10359</v>
      </c>
      <c r="D21" s="13">
        <f t="shared" si="2"/>
        <v>10359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IFERROR(VLOOKUP(A22,[4]Pomorski!$A$7:$D$100,4,FALSE),0)</f>
        <v>132152</v>
      </c>
      <c r="D22" s="13">
        <f t="shared" si="2"/>
        <v>132152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IFERROR(VLOOKUP(A23,[4]Pomorski!$A$7:$D$100,4,FALSE),0)</f>
        <v>58200</v>
      </c>
      <c r="D23" s="13">
        <f t="shared" si="2"/>
        <v>58200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IFERROR(VLOOKUP(A24,[4]Pomorski!$A$7:$D$100,4,FALSE),0)</f>
        <v>525512</v>
      </c>
      <c r="D24" s="31">
        <f>SUM(D25:D27)</f>
        <v>525512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IFERROR(VLOOKUP(A25,[4]Pomorski!$A$7:$D$100,4,FALSE),0)</f>
        <v>523815</v>
      </c>
      <c r="D25" s="13">
        <f t="shared" si="2"/>
        <v>523815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IFERROR(VLOOKUP(A26,[4]Pomorski!$A$7:$D$100,4,FALSE),0)</f>
        <v>931</v>
      </c>
      <c r="D26" s="13">
        <f t="shared" si="2"/>
        <v>931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IFERROR(VLOOKUP(A27,[4]Pomorski!$A$7:$D$100,4,FALSE),0)</f>
        <v>766</v>
      </c>
      <c r="D27" s="13">
        <f t="shared" si="2"/>
        <v>766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IFERROR(VLOOKUP(A29,[4]Pomorski!$A$7:$D$100,4,FALSE),0)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IFERROR(VLOOKUP(A32,[4]Pomorski!$A$7:$D$100,4,FALSE),0)</f>
        <v>1099</v>
      </c>
      <c r="D32" s="13">
        <f t="shared" si="2"/>
        <v>1099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IFERROR(VLOOKUP(A34,[4]Pomorski!$A$7:$D$100,4,FALSE),0)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IFERROR(VLOOKUP(A35,[4]Pomorski!$A$7:$D$100,4,FALSE),0)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IFERROR(VLOOKUP(A36,[4]Pomorski!$A$7:$D$100,4,FALSE),0)</f>
        <v>108713</v>
      </c>
      <c r="D36" s="37">
        <f>C36</f>
        <v>108713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IFERROR(VLOOKUP(A37,[4]Pomorski!$A$7:$D$100,4,FALSE),0)</f>
        <v>34894</v>
      </c>
      <c r="D37" s="37">
        <f>C37</f>
        <v>34894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775469</v>
      </c>
      <c r="D38" s="32">
        <f>D11+D13+D24+D30</f>
        <v>775469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33148</v>
      </c>
      <c r="D39" s="87">
        <f>D40+D41+D42+D50+D52+D58+D59+D57</f>
        <v>33148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IFERROR(VLOOKUP(A40,[4]Pomorski!$A$7:$D$100,4,FALSE),0)</f>
        <v>1549</v>
      </c>
      <c r="D40" s="33">
        <f>C40</f>
        <v>1549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IFERROR(VLOOKUP(A41,[4]Pomorski!$A$7:$D$100,4,FALSE),0)</f>
        <v>3339</v>
      </c>
      <c r="D41" s="33">
        <f t="shared" ref="D41:D59" si="3">C41</f>
        <v>3339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135</v>
      </c>
      <c r="D42" s="33">
        <f>D43+D45+D46+D47+D48+D49</f>
        <v>135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IFERROR(VLOOKUP(A43,[4]Pomorski!$A$7:$D$100,4,FALSE),0)</f>
        <v>44</v>
      </c>
      <c r="D43" s="33">
        <f t="shared" si="3"/>
        <v>44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IFERROR(VLOOKUP(A44,[4]Pomorski!$A$7:$D$100,4,FALSE),0)</f>
        <v>44</v>
      </c>
      <c r="D44" s="33">
        <f t="shared" si="3"/>
        <v>44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IFERROR(VLOOKUP(A45,[4]Pomorski!$A$7:$D$100,4,FALSE),0)</f>
        <v>36</v>
      </c>
      <c r="D45" s="33">
        <f t="shared" si="3"/>
        <v>36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IFERROR(VLOOKUP(A46,[4]Pomorski!$A$7:$D$100,4,FALSE),0)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IFERROR(VLOOKUP(A47,[4]Pomorski!$A$7:$D$100,4,FALSE),0)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IFERROR(VLOOKUP(A48,[4]Pomorski!$A$7:$D$100,4,FALSE),0)</f>
        <v>33</v>
      </c>
      <c r="D48" s="33">
        <f t="shared" si="3"/>
        <v>33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IFERROR(VLOOKUP(A49,[4]Pomorski!$A$7:$D$100,4,FALSE),0)</f>
        <v>22</v>
      </c>
      <c r="D49" s="33">
        <f t="shared" si="3"/>
        <v>22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IFERROR(VLOOKUP(A50,[4]Pomorski!$A$7:$D$100,4,FALSE),0)</f>
        <v>19789</v>
      </c>
      <c r="D50" s="33">
        <f t="shared" si="3"/>
        <v>19789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IFERROR(VLOOKUP(A51,[4]Pomorski!$A$7:$D$100,4,FALSE),0)</f>
        <v>84</v>
      </c>
      <c r="D51" s="33">
        <f t="shared" si="3"/>
        <v>84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4501</v>
      </c>
      <c r="D52" s="29">
        <f>D53+D54+D55+D56</f>
        <v>4501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IFERROR(VLOOKUP(A53,[4]Pomorski!$A$7:$D$100,4,FALSE),0)</f>
        <v>3396</v>
      </c>
      <c r="D53" s="33">
        <f t="shared" si="3"/>
        <v>3396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IFERROR(VLOOKUP(A54,[4]Pomorski!$A$7:$D$100,4,FALSE),0)</f>
        <v>486</v>
      </c>
      <c r="D54" s="33">
        <f t="shared" si="3"/>
        <v>486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IFERROR(VLOOKUP(A55,[4]Pomorski!$A$7:$D$100,4,FALSE),0)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IFERROR(VLOOKUP(A56,[4]Pomorski!$A$7:$D$100,4,FALSE),0)</f>
        <v>619</v>
      </c>
      <c r="D56" s="33">
        <f t="shared" si="3"/>
        <v>619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IFERROR(VLOOKUP(A57,[4]Pomorski!$A$7:$D$100,4,FALSE),0)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IFERROR(VLOOKUP(A58,[4]Pomorski!$A$7:$D$100,4,FALSE),0)</f>
        <v>3600</v>
      </c>
      <c r="D58" s="33">
        <f t="shared" si="3"/>
        <v>3600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IFERROR(VLOOKUP(A59,[4]Pomorski!$A$7:$D$100,4,FALSE),0)</f>
        <v>235</v>
      </c>
      <c r="D59" s="33">
        <f t="shared" si="3"/>
        <v>235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8332</v>
      </c>
      <c r="D60" s="107">
        <f>D61+D62+D63+D64</f>
        <v>1859</v>
      </c>
      <c r="E60" s="83">
        <f t="shared" si="0"/>
        <v>-6473</v>
      </c>
      <c r="F60" s="108">
        <f t="shared" si="1"/>
        <v>0.22309999999999999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IFERROR(VLOOKUP(A61,[4]Pomorski!$A$7:$D$100,4,FALSE),0)</f>
        <v>59</v>
      </c>
      <c r="D61" s="33">
        <f>C61</f>
        <v>59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IFERROR(VLOOKUP(A62,[4]Pomorski!$A$7:$D$100,4,FALSE),0)</f>
        <v>6273</v>
      </c>
      <c r="D62" s="33">
        <f>C62-5273</f>
        <v>1000</v>
      </c>
      <c r="E62" s="29">
        <f t="shared" si="0"/>
        <v>-5273</v>
      </c>
      <c r="F62" s="39">
        <f t="shared" si="1"/>
        <v>0.15939999999999999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IFERROR(VLOOKUP(A63,[4]Pomorski!$A$7:$D$100,4,FALSE),0)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IFERROR(VLOOKUP(A64,[4]Pomorski!$A$7:$D$100,4,FALSE),0)</f>
        <v>2000</v>
      </c>
      <c r="D64" s="33">
        <f>C64-1200</f>
        <v>800</v>
      </c>
      <c r="E64" s="29">
        <f t="shared" si="0"/>
        <v>-1200</v>
      </c>
      <c r="F64" s="39">
        <f t="shared" si="1"/>
        <v>0.4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IFERROR(VLOOKUP(A65,[4]Pomorski!$A$7:$D$100,4,FALSE),0)</f>
        <v>3970</v>
      </c>
      <c r="D65" s="107">
        <f>C65-2970</f>
        <v>1000</v>
      </c>
      <c r="E65" s="83">
        <f t="shared" si="0"/>
        <v>-2970</v>
      </c>
      <c r="F65" s="108">
        <f t="shared" si="1"/>
        <v>0.25190000000000001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46" activePane="bottomRight" state="frozen"/>
      <selection activeCell="D6" sqref="D6:D93"/>
      <selection pane="topRight" activeCell="D6" sqref="D6:D93"/>
      <selection pane="bottomLeft" activeCell="D6" sqref="D6:D93"/>
      <selection pane="bottomRight" activeCell="D62" sqref="D6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9250669</v>
      </c>
      <c r="D6" s="102">
        <f>D7+D8+D9+D14+D15+D16+D17+D18+D19+D20+D21+D22+D23+D24+D28+D29+D31+D32+D33+D34</f>
        <v>9282231</v>
      </c>
      <c r="E6" s="83">
        <f>IF(C6=D6,"-",D6-C6)</f>
        <v>31562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IFERROR(VLOOKUP(A7,[4]Śląski!$A$7:$D$100,4,FALSE),0)</f>
        <v>1214388</v>
      </c>
      <c r="D7" s="13">
        <f>C7</f>
        <v>1214388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IFERROR(VLOOKUP(A8,[4]Śląski!$A$7:$D$100,4,FALSE),0)</f>
        <v>753998</v>
      </c>
      <c r="D8" s="13">
        <f>C8</f>
        <v>753998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IFERROR(VLOOKUP(A9,[4]Śląski!$A$7:$D$100,4,FALSE),0)</f>
        <v>4563615</v>
      </c>
      <c r="D9" s="13">
        <f>C9+31562</f>
        <v>4595177</v>
      </c>
      <c r="E9" s="38">
        <f t="shared" si="0"/>
        <v>31562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IFERROR(VLOOKUP(A10,[4]Śląski!$A$7:$D$100,4,FALSE),0)</f>
        <v>449136</v>
      </c>
      <c r="D10" s="13">
        <f t="shared" ref="D10:D34" si="2">C10</f>
        <v>449136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IFERROR(VLOOKUP(A11,[4]Śląski!$A$7:$D$100,4,FALSE),0)</f>
        <v>405637</v>
      </c>
      <c r="D11" s="13">
        <f t="shared" si="2"/>
        <v>405637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IFERROR(VLOOKUP(A12,[4]Śląski!$A$7:$D$100,4,FALSE),0)</f>
        <v>169299</v>
      </c>
      <c r="D12" s="13">
        <f t="shared" si="2"/>
        <v>169299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IFERROR(VLOOKUP(A13,[4]Śląski!$A$7:$D$100,4,FALSE),0)</f>
        <v>74143</v>
      </c>
      <c r="D13" s="13">
        <f t="shared" si="2"/>
        <v>74143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IFERROR(VLOOKUP(A14,[4]Śląski!$A$7:$D$100,4,FALSE),0)</f>
        <v>334521</v>
      </c>
      <c r="D14" s="13">
        <f t="shared" si="2"/>
        <v>334521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IFERROR(VLOOKUP(A15,[4]Śląski!$A$7:$D$100,4,FALSE),0)</f>
        <v>275782</v>
      </c>
      <c r="D15" s="13">
        <f t="shared" si="2"/>
        <v>275782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IFERROR(VLOOKUP(A16,[4]Śląski!$A$7:$D$100,4,FALSE),0)</f>
        <v>248587</v>
      </c>
      <c r="D16" s="13">
        <f t="shared" si="2"/>
        <v>248587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IFERROR(VLOOKUP(A17,[4]Śląski!$A$7:$D$100,4,FALSE),0)</f>
        <v>81905</v>
      </c>
      <c r="D17" s="13">
        <f t="shared" si="2"/>
        <v>81905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IFERROR(VLOOKUP(A18,[4]Śląski!$A$7:$D$100,4,FALSE),0)</f>
        <v>196654</v>
      </c>
      <c r="D18" s="13">
        <f t="shared" si="2"/>
        <v>196654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IFERROR(VLOOKUP(A19,[4]Śląski!$A$7:$D$100,4,FALSE),0)</f>
        <v>73300</v>
      </c>
      <c r="D19" s="13">
        <f t="shared" si="2"/>
        <v>73300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IFERROR(VLOOKUP(A20,[4]Śląski!$A$7:$D$100,4,FALSE),0)</f>
        <v>4794</v>
      </c>
      <c r="D20" s="13">
        <f t="shared" si="2"/>
        <v>4794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IFERROR(VLOOKUP(A21,[4]Śląski!$A$7:$D$100,4,FALSE),0)</f>
        <v>32975</v>
      </c>
      <c r="D21" s="13">
        <f t="shared" si="2"/>
        <v>32975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IFERROR(VLOOKUP(A22,[4]Śląski!$A$7:$D$100,4,FALSE),0)</f>
        <v>243543</v>
      </c>
      <c r="D22" s="13">
        <f t="shared" si="2"/>
        <v>243543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IFERROR(VLOOKUP(A23,[4]Śląski!$A$7:$D$100,4,FALSE),0)</f>
        <v>149437</v>
      </c>
      <c r="D23" s="13">
        <f t="shared" si="2"/>
        <v>149437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IFERROR(VLOOKUP(A24,[4]Śląski!$A$7:$D$100,4,FALSE),0)</f>
        <v>1047671</v>
      </c>
      <c r="D24" s="31">
        <f>SUM(D25:D27)</f>
        <v>1047671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IFERROR(VLOOKUP(A25,[4]Śląski!$A$7:$D$100,4,FALSE),0)</f>
        <v>1045774</v>
      </c>
      <c r="D25" s="13">
        <f t="shared" si="2"/>
        <v>1045774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IFERROR(VLOOKUP(A26,[4]Śląski!$A$7:$D$100,4,FALSE),0)</f>
        <v>1029</v>
      </c>
      <c r="D26" s="13">
        <f t="shared" si="2"/>
        <v>1029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IFERROR(VLOOKUP(A27,[4]Śląski!$A$7:$D$100,4,FALSE),0)</f>
        <v>868</v>
      </c>
      <c r="D27" s="13">
        <f t="shared" si="2"/>
        <v>868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IFERROR(VLOOKUP(A28,[4]Śląski!$A$7:$D$100,4,FALSE),0)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IFERROR(VLOOKUP(A29,[4]Śląski!$A$7:$D$100,4,FALSE),0)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IFERROR(VLOOKUP(A30,[4]Śląski!$A$7:$D$100,4,FALSE),0)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IFERROR(VLOOKUP(A31,[4]Śląski!$A$7:$D$100,4,FALSE),0)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IFERROR(VLOOKUP(A32,[4]Śląski!$A$7:$D$100,4,FALSE),0)</f>
        <v>21790</v>
      </c>
      <c r="D32" s="13">
        <f t="shared" si="2"/>
        <v>21790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IFERROR(VLOOKUP(A33,[4]Śląski!$A$7:$D$100,4,FALSE),0)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IFERROR(VLOOKUP(A34,[4]Śląski!$A$7:$D$100,4,FALSE),0)</f>
        <v>7709</v>
      </c>
      <c r="D34" s="13">
        <f t="shared" si="2"/>
        <v>7709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IFERROR(VLOOKUP(A35,[4]Śląski!$A$7:$D$100,4,FALSE),0)</f>
        <v>228</v>
      </c>
      <c r="D35" s="37">
        <f>C35</f>
        <v>228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IFERROR(VLOOKUP(A36,[4]Śląski!$A$7:$D$100,4,FALSE),0)</f>
        <v>206284</v>
      </c>
      <c r="D36" s="37">
        <f>C36</f>
        <v>206284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IFERROR(VLOOKUP(A37,[4]Śląski!$A$7:$D$100,4,FALSE),0)</f>
        <v>70785</v>
      </c>
      <c r="D37" s="37">
        <f>C37</f>
        <v>70785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1527451</v>
      </c>
      <c r="D38" s="32">
        <f>D11+D13+D24+D30</f>
        <v>1527451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66153</v>
      </c>
      <c r="D39" s="87">
        <f>D40+D41+D42+D50+D52+D58+D59+D57</f>
        <v>66153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IFERROR(VLOOKUP(A40,[4]Śląski!$A$7:$D$100,4,FALSE),0)</f>
        <v>2584</v>
      </c>
      <c r="D40" s="33">
        <f>C40</f>
        <v>2584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IFERROR(VLOOKUP(A41,[4]Śląski!$A$7:$D$100,4,FALSE),0)</f>
        <v>8307</v>
      </c>
      <c r="D41" s="33">
        <f t="shared" ref="D41:D59" si="3">C41</f>
        <v>8307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607</v>
      </c>
      <c r="D42" s="33">
        <f>D43+D45+D46+D47+D48+D49</f>
        <v>607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IFERROR(VLOOKUP(A43,[4]Śląski!$A$7:$D$100,4,FALSE),0)</f>
        <v>122</v>
      </c>
      <c r="D43" s="33">
        <f t="shared" si="3"/>
        <v>122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IFERROR(VLOOKUP(A44,[4]Śląski!$A$7:$D$100,4,FALSE),0)</f>
        <v>122</v>
      </c>
      <c r="D44" s="33">
        <f t="shared" si="3"/>
        <v>122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IFERROR(VLOOKUP(A45,[4]Śląski!$A$7:$D$100,4,FALSE),0)</f>
        <v>10</v>
      </c>
      <c r="D45" s="33">
        <f t="shared" si="3"/>
        <v>10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IFERROR(VLOOKUP(A46,[4]Śląski!$A$7:$D$100,4,FALSE),0)</f>
        <v>4</v>
      </c>
      <c r="D46" s="33">
        <f t="shared" si="3"/>
        <v>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IFERROR(VLOOKUP(A47,[4]Śląski!$A$7:$D$100,4,FALSE),0)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IFERROR(VLOOKUP(A48,[4]Śląski!$A$7:$D$100,4,FALSE),0)</f>
        <v>450</v>
      </c>
      <c r="D48" s="33">
        <f t="shared" si="3"/>
        <v>450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IFERROR(VLOOKUP(A49,[4]Śląski!$A$7:$D$100,4,FALSE),0)</f>
        <v>21</v>
      </c>
      <c r="D49" s="33">
        <f t="shared" si="3"/>
        <v>21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IFERROR(VLOOKUP(A50,[4]Śląski!$A$7:$D$100,4,FALSE),0)</f>
        <v>39940</v>
      </c>
      <c r="D50" s="33">
        <f t="shared" si="3"/>
        <v>39940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IFERROR(VLOOKUP(A51,[4]Śląski!$A$7:$D$100,4,FALSE),0)</f>
        <v>120</v>
      </c>
      <c r="D51" s="33">
        <f t="shared" si="3"/>
        <v>120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8969</v>
      </c>
      <c r="D52" s="29">
        <f>D53+D54+D55+D56</f>
        <v>8969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IFERROR(VLOOKUP(A53,[4]Śląski!$A$7:$D$100,4,FALSE),0)</f>
        <v>6858</v>
      </c>
      <c r="D53" s="33">
        <f t="shared" si="3"/>
        <v>6858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IFERROR(VLOOKUP(A54,[4]Śląski!$A$7:$D$100,4,FALSE),0)</f>
        <v>979</v>
      </c>
      <c r="D54" s="33">
        <f t="shared" si="3"/>
        <v>979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IFERROR(VLOOKUP(A55,[4]Śląski!$A$7:$D$100,4,FALSE),0)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IFERROR(VLOOKUP(A56,[4]Śląski!$A$7:$D$100,4,FALSE),0)</f>
        <v>1132</v>
      </c>
      <c r="D56" s="33">
        <f t="shared" si="3"/>
        <v>1132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IFERROR(VLOOKUP(A57,[4]Śląski!$A$7:$D$100,4,FALSE),0)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IFERROR(VLOOKUP(A58,[4]Śląski!$A$7:$D$100,4,FALSE),0)</f>
        <v>5444</v>
      </c>
      <c r="D58" s="33">
        <f t="shared" si="3"/>
        <v>5444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IFERROR(VLOOKUP(A59,[4]Śląski!$A$7:$D$100,4,FALSE),0)</f>
        <v>302</v>
      </c>
      <c r="D59" s="33">
        <f t="shared" si="3"/>
        <v>302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2968</v>
      </c>
      <c r="D60" s="107">
        <f>D61+D62+D63+D64</f>
        <v>10907</v>
      </c>
      <c r="E60" s="83">
        <f t="shared" si="0"/>
        <v>7939</v>
      </c>
      <c r="F60" s="108">
        <f t="shared" si="1"/>
        <v>3.6749000000000001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IFERROR(VLOOKUP(A61,[4]Śląski!$A$7:$D$100,4,FALSE),0)</f>
        <v>280</v>
      </c>
      <c r="D61" s="33">
        <f>C61-30</f>
        <v>250</v>
      </c>
      <c r="E61" s="29">
        <f t="shared" si="0"/>
        <v>-30</v>
      </c>
      <c r="F61" s="39">
        <f t="shared" si="1"/>
        <v>0.89290000000000003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IFERROR(VLOOKUP(A62,[4]Śląski!$A$7:$D$100,4,FALSE),0)</f>
        <v>1828</v>
      </c>
      <c r="D62" s="33">
        <f>C62+3829</f>
        <v>5657</v>
      </c>
      <c r="E62" s="29">
        <f t="shared" si="0"/>
        <v>3829</v>
      </c>
      <c r="F62" s="39">
        <f t="shared" si="1"/>
        <v>3.0945999999999998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IFERROR(VLOOKUP(A63,[4]Śląski!$A$7:$D$100,4,FALSE),0)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IFERROR(VLOOKUP(A64,[4]Śląski!$A$7:$D$100,4,FALSE),0)</f>
        <v>860</v>
      </c>
      <c r="D64" s="33">
        <f>C64+4140</f>
        <v>5000</v>
      </c>
      <c r="E64" s="29">
        <f t="shared" si="0"/>
        <v>4140</v>
      </c>
      <c r="F64" s="39">
        <f t="shared" si="1"/>
        <v>5.8140000000000001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IFERROR(VLOOKUP(A65,[4]Śląski!$A$7:$D$100,4,FALSE),0)</f>
        <v>1355</v>
      </c>
      <c r="D65" s="107">
        <f>C65+1596</f>
        <v>2951</v>
      </c>
      <c r="E65" s="83">
        <f t="shared" si="0"/>
        <v>1596</v>
      </c>
      <c r="F65" s="108">
        <f t="shared" si="1"/>
        <v>2.1779000000000002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D6" sqref="D6:D93"/>
      <selection pane="bottomLeft" activeCell="J9" sqref="J9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2530486</v>
      </c>
      <c r="D6" s="102">
        <f>D7+D8+D9+D14+D15+D16+D17+D18+D19+D20+D21+D22+D23+D24+D28+D29+D31+D32+D33+D34</f>
        <v>2539202</v>
      </c>
      <c r="E6" s="83">
        <f>IF(C6=D6,"-",D6-C6)</f>
        <v>8716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IFERROR(VLOOKUP(A7,[4]Świętokrzyski!$A$7:$D$100,4,FALSE),0)</f>
        <v>315973</v>
      </c>
      <c r="D7" s="13">
        <f>C7</f>
        <v>315973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IFERROR(VLOOKUP(A8,[4]Świętokrzyski!$A$7:$D$100,4,FALSE),0)</f>
        <v>168659</v>
      </c>
      <c r="D8" s="13">
        <f>C8</f>
        <v>168659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IFERROR(VLOOKUP(A9,[4]Świętokrzyski!$A$7:$D$100,4,FALSE),0)</f>
        <v>1300128</v>
      </c>
      <c r="D9" s="13">
        <f>C9+8716</f>
        <v>1308844</v>
      </c>
      <c r="E9" s="38">
        <f t="shared" si="0"/>
        <v>8716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IFERROR(VLOOKUP(A10,[4]Świętokrzyski!$A$7:$D$100,4,FALSE),0)</f>
        <v>114023</v>
      </c>
      <c r="D10" s="13">
        <f t="shared" ref="D10:D34" si="2">C10</f>
        <v>114023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IFERROR(VLOOKUP(A11,[4]Świętokrzyski!$A$7:$D$100,4,FALSE),0)</f>
        <v>99736</v>
      </c>
      <c r="D11" s="13">
        <f t="shared" si="2"/>
        <v>99736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IFERROR(VLOOKUP(A12,[4]Świętokrzyski!$A$7:$D$100,4,FALSE),0)</f>
        <v>55998</v>
      </c>
      <c r="D12" s="13">
        <f t="shared" si="2"/>
        <v>55998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IFERROR(VLOOKUP(A13,[4]Świętokrzyski!$A$7:$D$100,4,FALSE),0)</f>
        <v>27471</v>
      </c>
      <c r="D13" s="13">
        <f t="shared" si="2"/>
        <v>27471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IFERROR(VLOOKUP(A14,[4]Świętokrzyski!$A$7:$D$100,4,FALSE),0)</f>
        <v>84246</v>
      </c>
      <c r="D14" s="13">
        <f t="shared" si="2"/>
        <v>84246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IFERROR(VLOOKUP(A15,[4]Świętokrzyski!$A$7:$D$100,4,FALSE),0)</f>
        <v>78656</v>
      </c>
      <c r="D15" s="13">
        <f t="shared" si="2"/>
        <v>78656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IFERROR(VLOOKUP(A16,[4]Świętokrzyski!$A$7:$D$100,4,FALSE),0)</f>
        <v>55311</v>
      </c>
      <c r="D16" s="13">
        <f t="shared" si="2"/>
        <v>55311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IFERROR(VLOOKUP(A17,[4]Świętokrzyski!$A$7:$D$100,4,FALSE),0)</f>
        <v>26578</v>
      </c>
      <c r="D17" s="13">
        <f t="shared" si="2"/>
        <v>26578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IFERROR(VLOOKUP(A18,[4]Świętokrzyski!$A$7:$D$100,4,FALSE),0)</f>
        <v>67365</v>
      </c>
      <c r="D18" s="13">
        <f t="shared" si="2"/>
        <v>67365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IFERROR(VLOOKUP(A19,[4]Świętokrzyski!$A$7:$D$100,4,FALSE),0)</f>
        <v>26084</v>
      </c>
      <c r="D19" s="13">
        <f t="shared" si="2"/>
        <v>26084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IFERROR(VLOOKUP(A20,[4]Świętokrzyski!$A$7:$D$100,4,FALSE),0)</f>
        <v>1650</v>
      </c>
      <c r="D20" s="13">
        <f t="shared" si="2"/>
        <v>1650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IFERROR(VLOOKUP(A21,[4]Świętokrzyski!$A$7:$D$100,4,FALSE),0)</f>
        <v>6058</v>
      </c>
      <c r="D21" s="13">
        <f t="shared" si="2"/>
        <v>6058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IFERROR(VLOOKUP(A22,[4]Świętokrzyski!$A$7:$D$100,4,FALSE),0)</f>
        <v>57385</v>
      </c>
      <c r="D22" s="13">
        <f t="shared" si="2"/>
        <v>57385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IFERROR(VLOOKUP(A23,[4]Świętokrzyski!$A$7:$D$100,4,FALSE),0)</f>
        <v>34540</v>
      </c>
      <c r="D23" s="13">
        <f t="shared" si="2"/>
        <v>34540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IFERROR(VLOOKUP(A24,[4]Świętokrzyski!$A$7:$D$100,4,FALSE),0)</f>
        <v>267911</v>
      </c>
      <c r="D24" s="31">
        <f>SUM(D25:D27)</f>
        <v>267911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IFERROR(VLOOKUP(A25,[4]Świętokrzyski!$A$7:$D$100,4,FALSE),0)</f>
        <v>267071</v>
      </c>
      <c r="D25" s="13">
        <f t="shared" si="2"/>
        <v>267071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IFERROR(VLOOKUP(A26,[4]Świętokrzyski!$A$7:$D$100,4,FALSE),0)</f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IFERROR(VLOOKUP(A27,[4]Świętokrzyski!$A$7:$D$100,4,FALSE),0)</f>
        <v>250</v>
      </c>
      <c r="D27" s="13">
        <f t="shared" si="2"/>
        <v>250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IFERROR(VLOOKUP(A28,[4]Świętokrzyski!$A$7:$D$100,4,FALSE),0)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IFERROR(VLOOKUP(A29,[4]Świętokrzyski!$A$7:$D$100,4,FALSE),0)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IFERROR(VLOOKUP(A30,[4]Świętokrzyski!$A$7:$D$100,4,FALSE),0)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IFERROR(VLOOKUP(A31,[4]Świętokrzyski!$A$7:$D$100,4,FALSE),0)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IFERROR(VLOOKUP(A32,[4]Świętokrzyski!$A$7:$D$100,4,FALSE),0)</f>
        <v>39413</v>
      </c>
      <c r="D32" s="13">
        <f t="shared" si="2"/>
        <v>39413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IFERROR(VLOOKUP(A33,[4]Świętokrzyski!$A$7:$D$100,4,FALSE),0)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IFERROR(VLOOKUP(A34,[4]Świętokrzyski!$A$7:$D$100,4,FALSE),0)</f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IFERROR(VLOOKUP(A35,[4]Świętokrzyski!$A$7:$D$100,4,FALSE),0)</f>
        <v>500</v>
      </c>
      <c r="D35" s="37">
        <f>C35</f>
        <v>500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IFERROR(VLOOKUP(A36,[4]Świętokrzyski!$A$7:$D$100,4,FALSE),0)</f>
        <v>59032</v>
      </c>
      <c r="D36" s="37">
        <f>C36</f>
        <v>59032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IFERROR(VLOOKUP(A37,[4]Świętokrzyski!$A$7:$D$100,4,FALSE),0)</f>
        <v>19516</v>
      </c>
      <c r="D37" s="37">
        <f>C37</f>
        <v>19516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395118</v>
      </c>
      <c r="D38" s="32">
        <f>D11+D13+D24+D30</f>
        <v>395118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17329</v>
      </c>
      <c r="D39" s="87">
        <f>D40+D41+D42+D50+D52+D58+D59+D57</f>
        <v>17329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IFERROR(VLOOKUP(A40,[4]Świętokrzyski!$A$7:$D$100,4,FALSE),0)</f>
        <v>619</v>
      </c>
      <c r="D40" s="33">
        <f>C40</f>
        <v>619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IFERROR(VLOOKUP(A41,[4]Świętokrzyski!$A$7:$D$100,4,FALSE),0)</f>
        <v>2175</v>
      </c>
      <c r="D41" s="33">
        <f t="shared" ref="D41:D59" si="3">C41</f>
        <v>2175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61</v>
      </c>
      <c r="D42" s="33">
        <f>D43+D45+D46+D47+D48+D49</f>
        <v>61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IFERROR(VLOOKUP(A43,[4]Świętokrzyski!$A$7:$D$100,4,FALSE),0)</f>
        <v>7</v>
      </c>
      <c r="D43" s="33">
        <f t="shared" si="3"/>
        <v>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IFERROR(VLOOKUP(A44,[4]Świętokrzyski!$A$7:$D$100,4,FALSE),0)</f>
        <v>7</v>
      </c>
      <c r="D44" s="33">
        <f t="shared" si="3"/>
        <v>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IFERROR(VLOOKUP(A45,[4]Świętokrzyski!$A$7:$D$100,4,FALSE),0)</f>
        <v>17</v>
      </c>
      <c r="D45" s="33">
        <f t="shared" si="3"/>
        <v>17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IFERROR(VLOOKUP(A46,[4]Świętokrzyski!$A$7:$D$100,4,FALSE),0)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IFERROR(VLOOKUP(A47,[4]Świętokrzyski!$A$7:$D$100,4,FALSE),0)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IFERROR(VLOOKUP(A48,[4]Świętokrzyski!$A$7:$D$100,4,FALSE),0)</f>
        <v>20</v>
      </c>
      <c r="D48" s="33">
        <f t="shared" si="3"/>
        <v>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IFERROR(VLOOKUP(A49,[4]Świętokrzyski!$A$7:$D$100,4,FALSE),0)</f>
        <v>17</v>
      </c>
      <c r="D49" s="33">
        <f t="shared" si="3"/>
        <v>17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IFERROR(VLOOKUP(A50,[4]Świętokrzyski!$A$7:$D$100,4,FALSE),0)</f>
        <v>11176</v>
      </c>
      <c r="D50" s="33">
        <f t="shared" si="3"/>
        <v>11176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IFERROR(VLOOKUP(A51,[4]Świętokrzyski!$A$7:$D$100,4,FALSE),0)</f>
        <v>27</v>
      </c>
      <c r="D51" s="33">
        <f t="shared" si="3"/>
        <v>27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2517</v>
      </c>
      <c r="D52" s="29">
        <f>D53+D54+D55+D56</f>
        <v>2517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IFERROR(VLOOKUP(A53,[4]Świętokrzyski!$A$7:$D$100,4,FALSE),0)</f>
        <v>1919</v>
      </c>
      <c r="D53" s="33">
        <f t="shared" si="3"/>
        <v>1919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IFERROR(VLOOKUP(A54,[4]Świętokrzyski!$A$7:$D$100,4,FALSE),0)</f>
        <v>275</v>
      </c>
      <c r="D54" s="33">
        <f t="shared" si="3"/>
        <v>275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IFERROR(VLOOKUP(A55,[4]Świętokrzyski!$A$7:$D$100,4,FALSE),0)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IFERROR(VLOOKUP(A56,[4]Świętokrzyski!$A$7:$D$100,4,FALSE),0)</f>
        <v>323</v>
      </c>
      <c r="D56" s="33">
        <f t="shared" si="3"/>
        <v>323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IFERROR(VLOOKUP(A57,[4]Świętokrzyski!$A$7:$D$100,4,FALSE),0)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IFERROR(VLOOKUP(A58,[4]Świętokrzyski!$A$7:$D$100,4,FALSE),0)</f>
        <v>600</v>
      </c>
      <c r="D58" s="33">
        <f t="shared" si="3"/>
        <v>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IFERROR(VLOOKUP(A59,[4]Świętokrzyski!$A$7:$D$100,4,FALSE),0)</f>
        <v>181</v>
      </c>
      <c r="D59" s="33">
        <f t="shared" si="3"/>
        <v>181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10839</v>
      </c>
      <c r="D60" s="107">
        <f>D61+D62+D63+D64</f>
        <v>839</v>
      </c>
      <c r="E60" s="83">
        <f t="shared" si="0"/>
        <v>-10000</v>
      </c>
      <c r="F60" s="108">
        <f t="shared" si="1"/>
        <v>7.7399999999999997E-2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IFERROR(VLOOKUP(A61,[4]Świętokrzyski!$A$7:$D$100,4,FALSE),0)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IFERROR(VLOOKUP(A62,[4]Świętokrzyski!$A$7:$D$100,4,FALSE),0)</f>
        <v>10239</v>
      </c>
      <c r="D62" s="33">
        <f>C62-10000</f>
        <v>239</v>
      </c>
      <c r="E62" s="29">
        <f t="shared" si="0"/>
        <v>-10000</v>
      </c>
      <c r="F62" s="39">
        <f t="shared" si="1"/>
        <v>2.3300000000000001E-2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IFERROR(VLOOKUP(A63,[4]Świętokrzyski!$A$7:$D$100,4,FALSE),0)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IFERROR(VLOOKUP(A64,[4]Świętokrzyski!$A$7:$D$100,4,FALSE),0)</f>
        <v>600</v>
      </c>
      <c r="D64" s="33">
        <f>C64</f>
        <v>600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IFERROR(VLOOKUP(A65,[4]Świętokrzyski!$A$7:$D$100,4,FALSE),0)</f>
        <v>3885</v>
      </c>
      <c r="D65" s="107">
        <f>C65-3385</f>
        <v>500</v>
      </c>
      <c r="E65" s="83">
        <f t="shared" si="0"/>
        <v>-3385</v>
      </c>
      <c r="F65" s="108">
        <f t="shared" si="1"/>
        <v>0.12870000000000001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2649712</v>
      </c>
      <c r="D6" s="102">
        <f>D7+D8+D9+D14+D15+D16+D17+D18+D19+D20+D21+D22+D23+D24+D28+D29+D31+D32+D33+D34</f>
        <v>2658823</v>
      </c>
      <c r="E6" s="83">
        <f>IF(C6=D6,"-",D6-C6)</f>
        <v>9111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IFERROR(VLOOKUP(A7,[4]WarmińskoMazurski!$A$7:$D$100,4,FALSE),0)</f>
        <v>368178</v>
      </c>
      <c r="D7" s="13">
        <f>C7</f>
        <v>368178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IFERROR(VLOOKUP(A8,[4]WarmińskoMazurski!$A$7:$D$100,4,FALSE),0)</f>
        <v>202098</v>
      </c>
      <c r="D8" s="13">
        <f>C8</f>
        <v>202098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IFERROR(VLOOKUP(A9,[4]WarmińskoMazurski!$A$7:$D$100,4,FALSE),0)</f>
        <v>1317750</v>
      </c>
      <c r="D9" s="13">
        <f>C9+9111</f>
        <v>1326861</v>
      </c>
      <c r="E9" s="38">
        <f t="shared" si="0"/>
        <v>9111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IFERROR(VLOOKUP(A10,[4]WarmińskoMazurski!$A$7:$D$100,4,FALSE),0)</f>
        <v>107594</v>
      </c>
      <c r="D10" s="13">
        <f t="shared" ref="D10:D34" si="2">C10</f>
        <v>107594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IFERROR(VLOOKUP(A11,[4]WarmińskoMazurski!$A$7:$D$100,4,FALSE),0)</f>
        <v>98075</v>
      </c>
      <c r="D11" s="13">
        <f t="shared" si="2"/>
        <v>98075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IFERROR(VLOOKUP(A12,[4]WarmińskoMazurski!$A$7:$D$100,4,FALSE),0)</f>
        <v>44043</v>
      </c>
      <c r="D12" s="13">
        <f t="shared" si="2"/>
        <v>44043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IFERROR(VLOOKUP(A13,[4]WarmińskoMazurski!$A$7:$D$100,4,FALSE),0)</f>
        <v>20777</v>
      </c>
      <c r="D13" s="13">
        <f t="shared" si="2"/>
        <v>20777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IFERROR(VLOOKUP(A14,[4]WarmińskoMazurski!$A$7:$D$100,4,FALSE),0)</f>
        <v>98627</v>
      </c>
      <c r="D14" s="13">
        <f t="shared" si="2"/>
        <v>98627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IFERROR(VLOOKUP(A15,[4]WarmińskoMazurski!$A$7:$D$100,4,FALSE),0)</f>
        <v>76730</v>
      </c>
      <c r="D15" s="13">
        <f t="shared" si="2"/>
        <v>76730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IFERROR(VLOOKUP(A16,[4]WarmińskoMazurski!$A$7:$D$100,4,FALSE),0)</f>
        <v>43307</v>
      </c>
      <c r="D16" s="13">
        <f t="shared" si="2"/>
        <v>43307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IFERROR(VLOOKUP(A17,[4]WarmińskoMazurski!$A$7:$D$100,4,FALSE),0)</f>
        <v>22078</v>
      </c>
      <c r="D17" s="13">
        <f t="shared" si="2"/>
        <v>22078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IFERROR(VLOOKUP(A18,[4]WarmińskoMazurski!$A$7:$D$100,4,FALSE),0)</f>
        <v>83799</v>
      </c>
      <c r="D18" s="13">
        <f t="shared" si="2"/>
        <v>83799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IFERROR(VLOOKUP(A19,[4]WarmińskoMazurski!$A$7:$D$100,4,FALSE),0)</f>
        <v>21202</v>
      </c>
      <c r="D19" s="13">
        <f t="shared" si="2"/>
        <v>21202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IFERROR(VLOOKUP(A20,[4]WarmińskoMazurski!$A$7:$D$100,4,FALSE),0)</f>
        <v>2961</v>
      </c>
      <c r="D20" s="13">
        <f t="shared" si="2"/>
        <v>2961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IFERROR(VLOOKUP(A21,[4]WarmińskoMazurski!$A$7:$D$100,4,FALSE),0)</f>
        <v>6380</v>
      </c>
      <c r="D21" s="13">
        <f t="shared" si="2"/>
        <v>6380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IFERROR(VLOOKUP(A22,[4]WarmińskoMazurski!$A$7:$D$100,4,FALSE),0)</f>
        <v>74152</v>
      </c>
      <c r="D22" s="13">
        <f t="shared" si="2"/>
        <v>74152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IFERROR(VLOOKUP(A23,[4]WarmińskoMazurski!$A$7:$D$100,4,FALSE),0)</f>
        <v>35008</v>
      </c>
      <c r="D23" s="13">
        <f t="shared" si="2"/>
        <v>35008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IFERROR(VLOOKUP(A24,[4]WarmińskoMazurski!$A$7:$D$100,4,FALSE),0)</f>
        <v>284974</v>
      </c>
      <c r="D24" s="31">
        <f>SUM(D25:D27)</f>
        <v>284974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IFERROR(VLOOKUP(A25,[4]WarmińskoMazurski!$A$7:$D$100,4,FALSE),0)</f>
        <v>284304</v>
      </c>
      <c r="D25" s="13">
        <f t="shared" si="2"/>
        <v>284304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IFERROR(VLOOKUP(A26,[4]WarmińskoMazurski!$A$7:$D$100,4,FALSE),0)</f>
        <v>520</v>
      </c>
      <c r="D26" s="13">
        <f t="shared" si="2"/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IFERROR(VLOOKUP(A27,[4]WarmińskoMazurski!$A$7:$D$100,4,FALSE),0)</f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IFERROR(VLOOKUP(A28,[4]WarmińskoMazurski!$A$7:$D$100,4,FALSE),0)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IFERROR(VLOOKUP(A29,[4]WarmińskoMazurski!$A$7:$D$100,4,FALSE),0)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IFERROR(VLOOKUP(A30,[4]WarmińskoMazurski!$A$7:$D$100,4,FALSE),0)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IFERROR(VLOOKUP(A31,[4]WarmińskoMazurski!$A$7:$D$100,4,FALSE),0)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IFERROR(VLOOKUP(A32,[4]WarmińskoMazurski!$A$7:$D$100,4,FALSE),0)</f>
        <v>11968</v>
      </c>
      <c r="D32" s="13">
        <f t="shared" si="2"/>
        <v>11968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IFERROR(VLOOKUP(A33,[4]WarmińskoMazurski!$A$7:$D$100,4,FALSE),0)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IFERROR(VLOOKUP(A34,[4]WarmińskoMazurski!$A$7:$D$100,4,FALSE),0)</f>
        <v>500</v>
      </c>
      <c r="D34" s="13">
        <f t="shared" si="2"/>
        <v>500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IFERROR(VLOOKUP(A35,[4]WarmińskoMazurski!$A$7:$D$100,4,FALSE),0)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IFERROR(VLOOKUP(A36,[4]WarmińskoMazurski!$A$7:$D$100,4,FALSE),0)</f>
        <v>95131</v>
      </c>
      <c r="D36" s="37">
        <f>C36</f>
        <v>95131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IFERROR(VLOOKUP(A37,[4]WarmińskoMazurski!$A$7:$D$100,4,FALSE),0)</f>
        <v>19324</v>
      </c>
      <c r="D37" s="37">
        <f>C37</f>
        <v>19324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403826</v>
      </c>
      <c r="D38" s="32">
        <f>D11+D13+D24+D30</f>
        <v>403826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19510</v>
      </c>
      <c r="D39" s="87">
        <f>D40+D41+D42+D50+D52+D58+D59+D57</f>
        <v>19510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IFERROR(VLOOKUP(A40,[4]WarmińskoMazurski!$A$7:$D$100,4,FALSE),0)</f>
        <v>605</v>
      </c>
      <c r="D40" s="33">
        <f>C40</f>
        <v>605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IFERROR(VLOOKUP(A41,[4]WarmińskoMazurski!$A$7:$D$100,4,FALSE),0)</f>
        <v>2345</v>
      </c>
      <c r="D41" s="33">
        <f t="shared" ref="D41:D59" si="3">C41</f>
        <v>2345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136</v>
      </c>
      <c r="D42" s="33">
        <f>D43+D45+D46+D47+D48+D49</f>
        <v>136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IFERROR(VLOOKUP(A43,[4]WarmińskoMazurski!$A$7:$D$100,4,FALSE),0)</f>
        <v>30</v>
      </c>
      <c r="D43" s="33">
        <f t="shared" si="3"/>
        <v>30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IFERROR(VLOOKUP(A44,[4]WarmińskoMazurski!$A$7:$D$100,4,FALSE),0)</f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IFERROR(VLOOKUP(A45,[4]WarmińskoMazurski!$A$7:$D$100,4,FALSE),0)</f>
        <v>9</v>
      </c>
      <c r="D45" s="33">
        <f t="shared" si="3"/>
        <v>9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IFERROR(VLOOKUP(A46,[4]WarmińskoMazurski!$A$7:$D$100,4,FALSE),0)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IFERROR(VLOOKUP(A47,[4]WarmińskoMazurski!$A$7:$D$100,4,FALSE),0)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IFERROR(VLOOKUP(A48,[4]WarmińskoMazurski!$A$7:$D$100,4,FALSE),0)</f>
        <v>94</v>
      </c>
      <c r="D48" s="33">
        <f t="shared" si="3"/>
        <v>94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IFERROR(VLOOKUP(A49,[4]WarmińskoMazurski!$A$7:$D$100,4,FALSE),0)</f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IFERROR(VLOOKUP(A50,[4]WarmińskoMazurski!$A$7:$D$100,4,FALSE),0)</f>
        <v>11662</v>
      </c>
      <c r="D50" s="33">
        <f t="shared" si="3"/>
        <v>11662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IFERROR(VLOOKUP(A51,[4]WarmińskoMazurski!$A$7:$D$100,4,FALSE),0)</f>
        <v>30</v>
      </c>
      <c r="D51" s="33">
        <f t="shared" si="3"/>
        <v>30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2617</v>
      </c>
      <c r="D52" s="29">
        <f>D53+D54+D55+D56</f>
        <v>2617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IFERROR(VLOOKUP(A53,[4]WarmińskoMazurski!$A$7:$D$100,4,FALSE),0)</f>
        <v>2003</v>
      </c>
      <c r="D53" s="33">
        <f t="shared" si="3"/>
        <v>2003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IFERROR(VLOOKUP(A54,[4]WarmińskoMazurski!$A$7:$D$100,4,FALSE),0)</f>
        <v>285</v>
      </c>
      <c r="D54" s="33">
        <f t="shared" si="3"/>
        <v>285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IFERROR(VLOOKUP(A55,[4]WarmińskoMazurski!$A$7:$D$100,4,FALSE),0)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IFERROR(VLOOKUP(A56,[4]WarmińskoMazurski!$A$7:$D$100,4,FALSE),0)</f>
        <v>329</v>
      </c>
      <c r="D56" s="33">
        <f t="shared" si="3"/>
        <v>329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IFERROR(VLOOKUP(A57,[4]WarmińskoMazurski!$A$7:$D$100,4,FALSE),0)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IFERROR(VLOOKUP(A58,[4]WarmińskoMazurski!$A$7:$D$100,4,FALSE),0)</f>
        <v>1980</v>
      </c>
      <c r="D58" s="33">
        <f t="shared" si="3"/>
        <v>1980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IFERROR(VLOOKUP(A59,[4]WarmińskoMazurski!$A$7:$D$100,4,FALSE),0)</f>
        <v>165</v>
      </c>
      <c r="D59" s="33">
        <f t="shared" si="3"/>
        <v>165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946</v>
      </c>
      <c r="D60" s="107">
        <f>D61+D62+D63+D64</f>
        <v>2637</v>
      </c>
      <c r="E60" s="83">
        <f t="shared" si="0"/>
        <v>1691</v>
      </c>
      <c r="F60" s="108">
        <f t="shared" si="1"/>
        <v>2.7875000000000001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IFERROR(VLOOKUP(A61,[4]WarmińskoMazurski!$A$7:$D$100,4,FALSE),0)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IFERROR(VLOOKUP(A62,[4]WarmińskoMazurski!$A$7:$D$100,4,FALSE),0)</f>
        <v>209</v>
      </c>
      <c r="D62" s="33">
        <f>C62+1691</f>
        <v>1900</v>
      </c>
      <c r="E62" s="29">
        <f t="shared" si="0"/>
        <v>1691</v>
      </c>
      <c r="F62" s="39">
        <f t="shared" si="1"/>
        <v>9.0908999999999995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IFERROR(VLOOKUP(A63,[4]WarmińskoMazurski!$A$7:$D$100,4,FALSE),0)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IFERROR(VLOOKUP(A64,[4]WarmińskoMazurski!$A$7:$D$100,4,FALSE),0)</f>
        <v>737</v>
      </c>
      <c r="D64" s="33">
        <f>C64</f>
        <v>737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IFERROR(VLOOKUP(A65,[4]WarmińskoMazurski!$A$7:$D$100,4,FALSE),0)</f>
        <v>45</v>
      </c>
      <c r="D65" s="107">
        <f>C65+252</f>
        <v>297</v>
      </c>
      <c r="E65" s="83">
        <f t="shared" si="0"/>
        <v>252</v>
      </c>
      <c r="F65" s="108">
        <f t="shared" si="1"/>
        <v>6.6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6802830</v>
      </c>
      <c r="D6" s="102">
        <f>D7+D8+D9+D14+D15+D16+D17+D18+D19+D20+D21+D22+D23+D24+D28+D29+D31+D32+D33+D34</f>
        <v>6826180</v>
      </c>
      <c r="E6" s="83">
        <f>IF(C6=D6,"-",D6-C6)</f>
        <v>23350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IFERROR(VLOOKUP(A7,[4]Wielkopolski!$A$7:$D$100,4,FALSE),0)</f>
        <v>942844</v>
      </c>
      <c r="D7" s="13">
        <f>C7</f>
        <v>942844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IFERROR(VLOOKUP(A8,[4]Wielkopolski!$A$7:$D$100,4,FALSE),0)</f>
        <v>527368</v>
      </c>
      <c r="D8" s="13">
        <f>C8</f>
        <v>527368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IFERROR(VLOOKUP(A9,[4]Wielkopolski!$A$7:$D$100,4,FALSE),0)</f>
        <v>3419238</v>
      </c>
      <c r="D9" s="13">
        <f>C9+23350</f>
        <v>3442588</v>
      </c>
      <c r="E9" s="38">
        <f t="shared" si="0"/>
        <v>23350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IFERROR(VLOOKUP(A10,[4]Wielkopolski!$A$7:$D$100,4,FALSE),0)</f>
        <v>324340</v>
      </c>
      <c r="D10" s="13">
        <f t="shared" ref="D10:D34" si="2">C10</f>
        <v>324340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IFERROR(VLOOKUP(A11,[4]Wielkopolski!$A$7:$D$100,4,FALSE),0)</f>
        <v>299902</v>
      </c>
      <c r="D11" s="13">
        <f t="shared" si="2"/>
        <v>299902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IFERROR(VLOOKUP(A12,[4]Wielkopolski!$A$7:$D$100,4,FALSE),0)</f>
        <v>132218</v>
      </c>
      <c r="D12" s="13">
        <f t="shared" si="2"/>
        <v>132218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IFERROR(VLOOKUP(A13,[4]Wielkopolski!$A$7:$D$100,4,FALSE),0)</f>
        <v>63294</v>
      </c>
      <c r="D13" s="13">
        <f t="shared" si="2"/>
        <v>63294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IFERROR(VLOOKUP(A14,[4]Wielkopolski!$A$7:$D$100,4,FALSE),0)</f>
        <v>231238</v>
      </c>
      <c r="D14" s="13">
        <f t="shared" si="2"/>
        <v>231238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IFERROR(VLOOKUP(A15,[4]Wielkopolski!$A$7:$D$100,4,FALSE),0)</f>
        <v>187293</v>
      </c>
      <c r="D15" s="13">
        <f t="shared" si="2"/>
        <v>187293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IFERROR(VLOOKUP(A16,[4]Wielkopolski!$A$7:$D$100,4,FALSE),0)</f>
        <v>87978</v>
      </c>
      <c r="D16" s="13">
        <f t="shared" si="2"/>
        <v>87978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IFERROR(VLOOKUP(A17,[4]Wielkopolski!$A$7:$D$100,4,FALSE),0)</f>
        <v>62823</v>
      </c>
      <c r="D17" s="13">
        <f t="shared" si="2"/>
        <v>62823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IFERROR(VLOOKUP(A18,[4]Wielkopolski!$A$7:$D$100,4,FALSE),0)</f>
        <v>149436</v>
      </c>
      <c r="D18" s="13">
        <f t="shared" si="2"/>
        <v>149436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IFERROR(VLOOKUP(A19,[4]Wielkopolski!$A$7:$D$100,4,FALSE),0)</f>
        <v>61500</v>
      </c>
      <c r="D19" s="13">
        <f t="shared" si="2"/>
        <v>61500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IFERROR(VLOOKUP(A20,[4]Wielkopolski!$A$7:$D$100,4,FALSE),0)</f>
        <v>3527</v>
      </c>
      <c r="D20" s="13">
        <f t="shared" si="2"/>
        <v>3527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IFERROR(VLOOKUP(A21,[4]Wielkopolski!$A$7:$D$100,4,FALSE),0)</f>
        <v>18418</v>
      </c>
      <c r="D21" s="13">
        <f t="shared" si="2"/>
        <v>18418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IFERROR(VLOOKUP(A22,[4]Wielkopolski!$A$7:$D$100,4,FALSE),0)</f>
        <v>221835</v>
      </c>
      <c r="D22" s="13">
        <f t="shared" si="2"/>
        <v>221835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IFERROR(VLOOKUP(A23,[4]Wielkopolski!$A$7:$D$100,4,FALSE),0)</f>
        <v>88000</v>
      </c>
      <c r="D23" s="13">
        <f t="shared" si="2"/>
        <v>88000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IFERROR(VLOOKUP(A24,[4]Wielkopolski!$A$7:$D$100,4,FALSE),0)</f>
        <v>776000</v>
      </c>
      <c r="D24" s="31">
        <f>SUM(D25:D27)</f>
        <v>776000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IFERROR(VLOOKUP(A25,[4]Wielkopolski!$A$7:$D$100,4,FALSE),0)</f>
        <v>773000</v>
      </c>
      <c r="D25" s="13">
        <f t="shared" si="2"/>
        <v>773000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IFERROR(VLOOKUP(A26,[4]Wielkopolski!$A$7:$D$100,4,FALSE),0)</f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IFERROR(VLOOKUP(A27,[4]Wielkopolski!$A$7:$D$100,4,FALSE),0)</f>
        <v>1500</v>
      </c>
      <c r="D27" s="13">
        <f t="shared" si="2"/>
        <v>1500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IFERROR(VLOOKUP(A28,[4]Wielkopolski!$A$7:$D$100,4,FALSE),0)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IFERROR(VLOOKUP(A29,[4]Wielkopolski!$A$7:$D$100,4,FALSE),0)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IFERROR(VLOOKUP(A30,[4]Wielkopolski!$A$7:$D$100,4,FALSE),0)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IFERROR(VLOOKUP(A31,[4]Wielkopolski!$A$7:$D$100,4,FALSE),0)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IFERROR(VLOOKUP(A32,[4]Wielkopolski!$A$7:$D$100,4,FALSE),0)</f>
        <v>25332</v>
      </c>
      <c r="D32" s="13">
        <f t="shared" si="2"/>
        <v>25332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IFERROR(VLOOKUP(A33,[4]Wielkopolski!$A$7:$D$100,4,FALSE),0)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IFERROR(VLOOKUP(A34,[4]Wielkopolski!$A$7:$D$100,4,FALSE),0)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IFERROR(VLOOKUP(A35,[4]Wielkopolski!$A$7:$D$100,4,FALSE),0)</f>
        <v>133</v>
      </c>
      <c r="D35" s="37">
        <f>C35</f>
        <v>133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IFERROR(VLOOKUP(A36,[4]Wielkopolski!$A$7:$D$100,4,FALSE),0)</f>
        <v>151417</v>
      </c>
      <c r="D36" s="37">
        <f>C36</f>
        <v>151417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IFERROR(VLOOKUP(A37,[4]Wielkopolski!$A$7:$D$100,4,FALSE),0)</f>
        <v>46347</v>
      </c>
      <c r="D37" s="37">
        <f>C37</f>
        <v>46347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1139196</v>
      </c>
      <c r="D38" s="32">
        <f>D11+D13+D24+D30</f>
        <v>1139196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44231</v>
      </c>
      <c r="D39" s="87">
        <f>D40+D41+D42+D50+D52+D58+D59+D57</f>
        <v>44231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IFERROR(VLOOKUP(A40,[4]Wielkopolski!$A$7:$D$100,4,FALSE),0)</f>
        <v>2360</v>
      </c>
      <c r="D40" s="33">
        <f>C40</f>
        <v>2360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IFERROR(VLOOKUP(A41,[4]Wielkopolski!$A$7:$D$100,4,FALSE),0)</f>
        <v>6904</v>
      </c>
      <c r="D41" s="33">
        <f t="shared" ref="D41:D59" si="3">C41</f>
        <v>6904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554</v>
      </c>
      <c r="D42" s="33">
        <f>D43+D45+D46+D47+D48+D49</f>
        <v>554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IFERROR(VLOOKUP(A43,[4]Wielkopolski!$A$7:$D$100,4,FALSE),0)</f>
        <v>52</v>
      </c>
      <c r="D43" s="33">
        <f t="shared" si="3"/>
        <v>52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IFERROR(VLOOKUP(A44,[4]Wielkopolski!$A$7:$D$100,4,FALSE),0)</f>
        <v>52</v>
      </c>
      <c r="D44" s="33">
        <f t="shared" si="3"/>
        <v>52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IFERROR(VLOOKUP(A45,[4]Wielkopolski!$A$7:$D$100,4,FALSE),0)</f>
        <v>240</v>
      </c>
      <c r="D45" s="33">
        <f t="shared" si="3"/>
        <v>240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IFERROR(VLOOKUP(A46,[4]Wielkopolski!$A$7:$D$100,4,FALSE),0)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IFERROR(VLOOKUP(A47,[4]Wielkopolski!$A$7:$D$100,4,FALSE),0)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IFERROR(VLOOKUP(A48,[4]Wielkopolski!$A$7:$D$100,4,FALSE),0)</f>
        <v>256</v>
      </c>
      <c r="D48" s="33">
        <f t="shared" si="3"/>
        <v>256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IFERROR(VLOOKUP(A49,[4]Wielkopolski!$A$7:$D$100,4,FALSE),0)</f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IFERROR(VLOOKUP(A50,[4]Wielkopolski!$A$7:$D$100,4,FALSE),0)</f>
        <v>24414</v>
      </c>
      <c r="D50" s="33">
        <f t="shared" si="3"/>
        <v>24414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IFERROR(VLOOKUP(A51,[4]Wielkopolski!$A$7:$D$100,4,FALSE),0)</f>
        <v>123</v>
      </c>
      <c r="D51" s="33">
        <f t="shared" si="3"/>
        <v>123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5481</v>
      </c>
      <c r="D52" s="29">
        <f>D53+D54+D55+D56</f>
        <v>5481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IFERROR(VLOOKUP(A53,[4]Wielkopolski!$A$7:$D$100,4,FALSE),0)</f>
        <v>4191</v>
      </c>
      <c r="D53" s="33">
        <f t="shared" si="3"/>
        <v>4191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IFERROR(VLOOKUP(A54,[4]Wielkopolski!$A$7:$D$100,4,FALSE),0)</f>
        <v>597</v>
      </c>
      <c r="D54" s="33">
        <f t="shared" si="3"/>
        <v>597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IFERROR(VLOOKUP(A55,[4]Wielkopolski!$A$7:$D$100,4,FALSE),0)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IFERROR(VLOOKUP(A56,[4]Wielkopolski!$A$7:$D$100,4,FALSE),0)</f>
        <v>693</v>
      </c>
      <c r="D56" s="33">
        <f t="shared" si="3"/>
        <v>693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IFERROR(VLOOKUP(A57,[4]Wielkopolski!$A$7:$D$100,4,FALSE),0)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IFERROR(VLOOKUP(A58,[4]Wielkopolski!$A$7:$D$100,4,FALSE),0)</f>
        <v>4000</v>
      </c>
      <c r="D58" s="33">
        <f t="shared" si="3"/>
        <v>4000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IFERROR(VLOOKUP(A59,[4]Wielkopolski!$A$7:$D$100,4,FALSE),0)</f>
        <v>518</v>
      </c>
      <c r="D59" s="33">
        <f t="shared" si="3"/>
        <v>518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21250</v>
      </c>
      <c r="D60" s="107">
        <f>D61+D62+D63+D64</f>
        <v>9101</v>
      </c>
      <c r="E60" s="83">
        <f t="shared" si="0"/>
        <v>-12149</v>
      </c>
      <c r="F60" s="108">
        <f t="shared" si="1"/>
        <v>0.42830000000000001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IFERROR(VLOOKUP(A61,[4]Wielkopolski!$A$7:$D$100,4,FALSE),0)</f>
        <v>50</v>
      </c>
      <c r="D61" s="33">
        <f>C61</f>
        <v>50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IFERROR(VLOOKUP(A62,[4]Wielkopolski!$A$7:$D$100,4,FALSE),0)</f>
        <v>20000</v>
      </c>
      <c r="D62" s="33">
        <f>C62-11699</f>
        <v>8301</v>
      </c>
      <c r="E62" s="29">
        <f t="shared" si="0"/>
        <v>-11699</v>
      </c>
      <c r="F62" s="39">
        <f t="shared" si="1"/>
        <v>0.41510000000000002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IFERROR(VLOOKUP(A63,[4]Wielkopolski!$A$7:$D$100,4,FALSE),0)</f>
        <v>0</v>
      </c>
      <c r="D63" s="33"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IFERROR(VLOOKUP(A64,[4]Wielkopolski!$A$7:$D$100,4,FALSE),0)</f>
        <v>1200</v>
      </c>
      <c r="D64" s="33">
        <v>750</v>
      </c>
      <c r="E64" s="29">
        <f t="shared" si="0"/>
        <v>-450</v>
      </c>
      <c r="F64" s="39">
        <f t="shared" si="1"/>
        <v>0.625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IFERROR(VLOOKUP(A65,[4]Wielkopolski!$A$7:$D$100,4,FALSE),0)</f>
        <v>3200</v>
      </c>
      <c r="D65" s="107">
        <f>C65+1930</f>
        <v>5130</v>
      </c>
      <c r="E65" s="83">
        <f t="shared" si="0"/>
        <v>1930</v>
      </c>
      <c r="F65" s="108">
        <f t="shared" si="1"/>
        <v>1.6031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H16" sqref="H16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75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3296962</v>
      </c>
      <c r="D6" s="102">
        <f>D7+D8+D9+D14+D15+D16+D17+D18+D19+D20+D21+D22+D23+D24+D28+D29+D31+D32+D33+D34</f>
        <v>3308221</v>
      </c>
      <c r="E6" s="83">
        <f>IF(C6=D6,"-",D6-C6)</f>
        <v>11259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IFERROR(VLOOKUP(A7,[4]Zachodniopomorski!$A$7:$D$100,4,FALSE),0)</f>
        <v>439088</v>
      </c>
      <c r="D7" s="13">
        <f>C7</f>
        <v>439088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IFERROR(VLOOKUP(A8,[4]Zachodniopomorski!$A$7:$D$100,4,FALSE),0)</f>
        <v>254124</v>
      </c>
      <c r="D8" s="13">
        <f>C8</f>
        <v>254124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IFERROR(VLOOKUP(A9,[4]Zachodniopomorski!$A$7:$D$100,4,FALSE),0)</f>
        <v>1668330</v>
      </c>
      <c r="D9" s="13">
        <f>C9+11259</f>
        <v>1679589</v>
      </c>
      <c r="E9" s="38">
        <f t="shared" si="0"/>
        <v>11259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IFERROR(VLOOKUP(A10,[4]Zachodniopomorski!$A$7:$D$100,4,FALSE),0)</f>
        <v>130569</v>
      </c>
      <c r="D10" s="13">
        <f t="shared" ref="D10:D34" si="2">C10</f>
        <v>130569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IFERROR(VLOOKUP(A11,[4]Zachodniopomorski!$A$7:$D$100,4,FALSE),0)</f>
        <v>119099</v>
      </c>
      <c r="D11" s="13">
        <f t="shared" si="2"/>
        <v>119099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IFERROR(VLOOKUP(A12,[4]Zachodniopomorski!$A$7:$D$100,4,FALSE),0)</f>
        <v>60803</v>
      </c>
      <c r="D12" s="13">
        <f t="shared" si="2"/>
        <v>60803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IFERROR(VLOOKUP(A13,[4]Zachodniopomorski!$A$7:$D$100,4,FALSE),0)</f>
        <v>27424</v>
      </c>
      <c r="D13" s="13">
        <f t="shared" si="2"/>
        <v>27424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IFERROR(VLOOKUP(A14,[4]Zachodniopomorski!$A$7:$D$100,4,FALSE),0)</f>
        <v>102752</v>
      </c>
      <c r="D14" s="13">
        <f t="shared" si="2"/>
        <v>102752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IFERROR(VLOOKUP(A15,[4]Zachodniopomorski!$A$7:$D$100,4,FALSE),0)</f>
        <v>77490</v>
      </c>
      <c r="D15" s="13">
        <f t="shared" si="2"/>
        <v>77490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IFERROR(VLOOKUP(A16,[4]Zachodniopomorski!$A$7:$D$100,4,FALSE),0)</f>
        <v>46776</v>
      </c>
      <c r="D16" s="13">
        <f t="shared" si="2"/>
        <v>46776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IFERROR(VLOOKUP(A17,[4]Zachodniopomorski!$A$7:$D$100,4,FALSE),0)</f>
        <v>17261</v>
      </c>
      <c r="D17" s="13">
        <f t="shared" si="2"/>
        <v>17261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IFERROR(VLOOKUP(A18,[4]Zachodniopomorski!$A$7:$D$100,4,FALSE),0)</f>
        <v>83579</v>
      </c>
      <c r="D18" s="13">
        <f t="shared" si="2"/>
        <v>83579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IFERROR(VLOOKUP(A19,[4]Zachodniopomorski!$A$7:$D$100,4,FALSE),0)</f>
        <v>27564</v>
      </c>
      <c r="D19" s="13">
        <f t="shared" si="2"/>
        <v>27564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IFERROR(VLOOKUP(A20,[4]Zachodniopomorski!$A$7:$D$100,4,FALSE),0)</f>
        <v>2472</v>
      </c>
      <c r="D20" s="13">
        <f t="shared" si="2"/>
        <v>2472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IFERROR(VLOOKUP(A21,[4]Zachodniopomorski!$A$7:$D$100,4,FALSE),0)</f>
        <v>9937</v>
      </c>
      <c r="D21" s="13">
        <f t="shared" si="2"/>
        <v>9937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IFERROR(VLOOKUP(A22,[4]Zachodniopomorski!$A$7:$D$100,4,FALSE),0)</f>
        <v>146491</v>
      </c>
      <c r="D22" s="13">
        <f t="shared" si="2"/>
        <v>146491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IFERROR(VLOOKUP(A23,[4]Zachodniopomorski!$A$7:$D$100,4,FALSE),0)</f>
        <v>42300</v>
      </c>
      <c r="D23" s="13">
        <f t="shared" si="2"/>
        <v>42300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IFERROR(VLOOKUP(A24,[4]Zachodniopomorski!$A$7:$D$100,4,FALSE),0)</f>
        <v>375924</v>
      </c>
      <c r="D24" s="31">
        <f>SUM(D25:D27)</f>
        <v>375924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IFERROR(VLOOKUP(A25,[4]Zachodniopomorski!$A$7:$D$100,4,FALSE),0)</f>
        <v>375164</v>
      </c>
      <c r="D25" s="13">
        <f t="shared" si="2"/>
        <v>375164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IFERROR(VLOOKUP(A26,[4]Zachodniopomorski!$A$7:$D$100,4,FALSE),0)</f>
        <v>410</v>
      </c>
      <c r="D26" s="13">
        <f t="shared" si="2"/>
        <v>410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IFERROR(VLOOKUP(A27,[4]Zachodniopomorski!$A$7:$D$100,4,FALSE),0)</f>
        <v>350</v>
      </c>
      <c r="D27" s="13">
        <f t="shared" si="2"/>
        <v>350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IFERROR(VLOOKUP(A28,[4]Zachodniopomorski!$A$7:$D$100,4,FALSE),0)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IFERROR(VLOOKUP(A29,[4]Zachodniopomorski!$A$7:$D$100,4,FALSE),0)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IFERROR(VLOOKUP(A30,[4]Zachodniopomorski!$A$7:$D$100,4,FALSE),0)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IFERROR(VLOOKUP(A31,[4]Zachodniopomorski!$A$7:$D$100,4,FALSE),0)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IFERROR(VLOOKUP(A32,[4]Zachodniopomorski!$A$7:$D$100,4,FALSE),0)</f>
        <v>874</v>
      </c>
      <c r="D32" s="13">
        <f t="shared" si="2"/>
        <v>874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IFERROR(VLOOKUP(A33,[4]Zachodniopomorski!$A$7:$D$100,4,FALSE),0)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IFERROR(VLOOKUP(A34,[4]Zachodniopomorski!$A$7:$D$100,4,FALSE),0)</f>
        <v>2000</v>
      </c>
      <c r="D34" s="13">
        <f t="shared" si="2"/>
        <v>2000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IFERROR(VLOOKUP(A35,[4]Zachodniopomorski!$A$7:$D$100,4,FALSE),0)</f>
        <v>890</v>
      </c>
      <c r="D35" s="37">
        <f>C35</f>
        <v>890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IFERROR(VLOOKUP(A36,[4]Zachodniopomorski!$A$7:$D$100,4,FALSE),0)</f>
        <v>104185</v>
      </c>
      <c r="D36" s="37">
        <f>C36</f>
        <v>104185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IFERROR(VLOOKUP(A37,[4]Zachodniopomorski!$A$7:$D$100,4,FALSE),0)</f>
        <v>24176</v>
      </c>
      <c r="D37" s="37">
        <f>C37</f>
        <v>24176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522447</v>
      </c>
      <c r="D38" s="32">
        <f>D11+D13+D24+D30</f>
        <v>522447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22821</v>
      </c>
      <c r="D39" s="87">
        <f>D40+D41+D42+D50+D52+D58+D59+D57</f>
        <v>22821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IFERROR(VLOOKUP(A40,[4]Zachodniopomorski!$A$7:$D$100,4,FALSE),0)</f>
        <v>870</v>
      </c>
      <c r="D40" s="33">
        <f>C40</f>
        <v>870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IFERROR(VLOOKUP(A41,[4]Zachodniopomorski!$A$7:$D$100,4,FALSE),0)</f>
        <v>2745</v>
      </c>
      <c r="D41" s="33">
        <f t="shared" ref="D41:D59" si="3">C41</f>
        <v>2745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230</v>
      </c>
      <c r="D42" s="33">
        <f>D43+D45+D46+D47+D48+D49</f>
        <v>230</v>
      </c>
      <c r="E42" s="38" t="str">
        <f t="shared" si="0"/>
        <v>-</v>
      </c>
      <c r="F42" s="39">
        <f t="shared" si="1"/>
        <v>1</v>
      </c>
    </row>
    <row r="43" spans="1:6" ht="23.25" customHeight="1" x14ac:dyDescent="0.2">
      <c r="A43" s="53" t="s">
        <v>38</v>
      </c>
      <c r="B43" s="46" t="s">
        <v>31</v>
      </c>
      <c r="C43" s="31">
        <f>IFERROR(VLOOKUP(A43,[4]Zachodniopomorski!$A$7:$D$100,4,FALSE),0)</f>
        <v>25</v>
      </c>
      <c r="D43" s="33">
        <f t="shared" si="3"/>
        <v>25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IFERROR(VLOOKUP(A44,[4]Zachodniopomorski!$A$7:$D$100,4,FALSE),0)</f>
        <v>25</v>
      </c>
      <c r="D44" s="33">
        <f t="shared" si="3"/>
        <v>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IFERROR(VLOOKUP(A45,[4]Zachodniopomorski!$A$7:$D$100,4,FALSE),0)</f>
        <v>23</v>
      </c>
      <c r="D45" s="33">
        <f t="shared" si="3"/>
        <v>23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IFERROR(VLOOKUP(A46,[4]Zachodniopomorski!$A$7:$D$100,4,FALSE),0)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IFERROR(VLOOKUP(A47,[4]Zachodniopomorski!$A$7:$D$100,4,FALSE),0)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IFERROR(VLOOKUP(A48,[4]Zachodniopomorski!$A$7:$D$100,4,FALSE),0)</f>
        <v>142</v>
      </c>
      <c r="D48" s="33">
        <f t="shared" si="3"/>
        <v>142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IFERROR(VLOOKUP(A49,[4]Zachodniopomorski!$A$7:$D$100,4,FALSE),0)</f>
        <v>40</v>
      </c>
      <c r="D49" s="33">
        <f t="shared" si="3"/>
        <v>40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IFERROR(VLOOKUP(A50,[4]Zachodniopomorski!$A$7:$D$100,4,FALSE),0)</f>
        <v>13741</v>
      </c>
      <c r="D50" s="33">
        <f t="shared" si="3"/>
        <v>13741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IFERROR(VLOOKUP(A51,[4]Zachodniopomorski!$A$7:$D$100,4,FALSE),0)</f>
        <v>57</v>
      </c>
      <c r="D51" s="33">
        <f t="shared" si="3"/>
        <v>57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3089</v>
      </c>
      <c r="D52" s="29">
        <f>D53+D54+D55+D56</f>
        <v>3089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IFERROR(VLOOKUP(A53,[4]Zachodniopomorski!$A$7:$D$100,4,FALSE),0)</f>
        <v>2359</v>
      </c>
      <c r="D53" s="33">
        <f t="shared" si="3"/>
        <v>2359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IFERROR(VLOOKUP(A54,[4]Zachodniopomorski!$A$7:$D$100,4,FALSE),0)</f>
        <v>337</v>
      </c>
      <c r="D54" s="33">
        <f t="shared" si="3"/>
        <v>337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IFERROR(VLOOKUP(A55,[4]Zachodniopomorski!$A$7:$D$100,4,FALSE),0)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IFERROR(VLOOKUP(A56,[4]Zachodniopomorski!$A$7:$D$100,4,FALSE),0)</f>
        <v>393</v>
      </c>
      <c r="D56" s="33">
        <f t="shared" si="3"/>
        <v>393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IFERROR(VLOOKUP(A57,[4]Zachodniopomorski!$A$7:$D$100,4,FALSE),0)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IFERROR(VLOOKUP(A58,[4]Zachodniopomorski!$A$7:$D$100,4,FALSE),0)</f>
        <v>1999</v>
      </c>
      <c r="D58" s="33">
        <f t="shared" si="3"/>
        <v>1999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IFERROR(VLOOKUP(A59,[4]Zachodniopomorski!$A$7:$D$100,4,FALSE),0)</f>
        <v>147</v>
      </c>
      <c r="D59" s="33">
        <f t="shared" si="3"/>
        <v>147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956</v>
      </c>
      <c r="D60" s="107">
        <f>D61+D62+D63+D64</f>
        <v>585</v>
      </c>
      <c r="E60" s="83">
        <f t="shared" si="0"/>
        <v>-371</v>
      </c>
      <c r="F60" s="108">
        <f t="shared" si="1"/>
        <v>0.6119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IFERROR(VLOOKUP(A61,[4]Zachodniopomorski!$A$7:$D$100,4,FALSE),0)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IFERROR(VLOOKUP(A62,[4]Zachodniopomorski!$A$7:$D$100,4,FALSE),0)</f>
        <v>0</v>
      </c>
      <c r="D62" s="33">
        <f>C62+28</f>
        <v>28</v>
      </c>
      <c r="E62" s="29">
        <f t="shared" si="0"/>
        <v>28</v>
      </c>
      <c r="F62" s="39" t="str">
        <f t="shared" si="1"/>
        <v>-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IFERROR(VLOOKUP(A63,[4]Zachodniopomorski!$A$7:$D$100,4,FALSE),0)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IFERROR(VLOOKUP(A64,[4]Zachodniopomorski!$A$7:$D$100,4,FALSE),0)</f>
        <v>956</v>
      </c>
      <c r="D64" s="33">
        <f>C64-399</f>
        <v>557</v>
      </c>
      <c r="E64" s="29">
        <f t="shared" si="0"/>
        <v>-399</v>
      </c>
      <c r="F64" s="39">
        <f t="shared" si="1"/>
        <v>0.58260000000000001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IFERROR(VLOOKUP(A65,[4]Zachodniopomorski!$A$7:$D$100,4,FALSE),0)</f>
        <v>66</v>
      </c>
      <c r="D65" s="107">
        <f>C65+16</f>
        <v>82</v>
      </c>
      <c r="E65" s="83">
        <f t="shared" si="0"/>
        <v>16</v>
      </c>
      <c r="F65" s="108">
        <f t="shared" si="1"/>
        <v>1.2423999999999999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167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595092</v>
      </c>
      <c r="D6" s="102">
        <f>D7+D8+D9+D14+D15+D16+D17+D18+D19+D20+D21+D22+D23+D24+D28+D29+D31+D32+D33+D34</f>
        <v>595092</v>
      </c>
      <c r="E6" s="83" t="str">
        <f>IF(C6=D6,"-",D6-C6)</f>
        <v>-</v>
      </c>
      <c r="F6" s="103">
        <f>IF(C6=0,"-",D6/C6)</f>
        <v>1</v>
      </c>
    </row>
    <row r="7" spans="1:6" ht="33" customHeight="1" x14ac:dyDescent="0.2">
      <c r="A7" s="48" t="s">
        <v>1</v>
      </c>
      <c r="B7" s="14" t="s">
        <v>117</v>
      </c>
      <c r="C7" s="31">
        <f>IFERROR(VLOOKUP(A7,[4]CENTRALA!$A$7:$D$100,4,FALSE),0)</f>
        <v>0</v>
      </c>
      <c r="D7" s="13">
        <f>C7</f>
        <v>0</v>
      </c>
      <c r="E7" s="38" t="str">
        <f t="shared" ref="E7:E65" si="0">IF(C7=D7,"-",D7-C7)</f>
        <v>-</v>
      </c>
      <c r="F7" s="39" t="str">
        <f t="shared" ref="F7:F65" si="1">IF(C7=0,"-",D7/C7)</f>
        <v>-</v>
      </c>
    </row>
    <row r="8" spans="1:6" ht="33" customHeight="1" x14ac:dyDescent="0.2">
      <c r="A8" s="48" t="s">
        <v>2</v>
      </c>
      <c r="B8" s="14" t="s">
        <v>118</v>
      </c>
      <c r="C8" s="31">
        <f>IFERROR(VLOOKUP(A8,[4]CENTRALA!$A$7:$D$100,4,FALSE),0)</f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</row>
    <row r="9" spans="1:6" ht="33" customHeight="1" x14ac:dyDescent="0.2">
      <c r="A9" s="48" t="s">
        <v>3</v>
      </c>
      <c r="B9" s="14" t="s">
        <v>115</v>
      </c>
      <c r="C9" s="31">
        <f>IFERROR(VLOOKUP(A9,[4]CENTRALA!$A$7:$D$100,4,FALSE),0)</f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IFERROR(VLOOKUP(A10,[4]CENTRALA!$A$7:$D$100,4,FALSE),0)</f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IFERROR(VLOOKUP(A11,[4]CENTRALA!$A$7:$D$100,4,FALSE),0)</f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IFERROR(VLOOKUP(A12,[4]CENTRALA!$A$7:$D$100,4,FALSE),0)</f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IFERROR(VLOOKUP(A13,[4]CENTRALA!$A$7:$D$100,4,FALSE),0)</f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IFERROR(VLOOKUP(A14,[4]CENTRALA!$A$7:$D$100,4,FALSE),0)</f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IFERROR(VLOOKUP(A15,[4]CENTRALA!$A$7:$D$100,4,FALSE),0)</f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IFERROR(VLOOKUP(A16,[4]CENTRALA!$A$7:$D$100,4,FALSE),0)</f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IFERROR(VLOOKUP(A17,[4]CENTRALA!$A$7:$D$100,4,FALSE),0)</f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IFERROR(VLOOKUP(A18,[4]CENTRALA!$A$7:$D$100,4,FALSE),0)</f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IFERROR(VLOOKUP(A19,[4]CENTRALA!$A$7:$D$100,4,FALSE),0)</f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IFERROR(VLOOKUP(A20,[4]CENTRALA!$A$7:$D$100,4,FALSE),0)</f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IFERROR(VLOOKUP(A21,[4]CENTRALA!$A$7:$D$100,4,FALSE),0)</f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IFERROR(VLOOKUP(A22,[4]CENTRALA!$A$7:$D$100,4,FALSE),0)</f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IFERROR(VLOOKUP(A23,[4]CENTRALA!$A$7:$D$100,4,FALSE),0)</f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IFERROR(VLOOKUP(A24,[4]CENTRALA!$A$7:$D$100,4,FALSE),0)</f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</row>
    <row r="25" spans="1:6" ht="37.5" x14ac:dyDescent="0.2">
      <c r="A25" s="49" t="s">
        <v>127</v>
      </c>
      <c r="B25" s="45" t="s">
        <v>149</v>
      </c>
      <c r="C25" s="31">
        <f>IFERROR(VLOOKUP(A25,[4]CENTRALA!$A$7:$D$100,4,FALSE),0)</f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IFERROR(VLOOKUP(A26,[4]CENTRALA!$A$7:$D$100,4,FALSE),0)</f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</row>
    <row r="27" spans="1:6" ht="37.5" x14ac:dyDescent="0.2">
      <c r="A27" s="49" t="s">
        <v>152</v>
      </c>
      <c r="B27" s="45" t="s">
        <v>150</v>
      </c>
      <c r="C27" s="31">
        <f>IFERROR(VLOOKUP(A27,[4]CENTRALA!$A$7:$D$100,4,FALSE),0)</f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IFERROR(VLOOKUP(A28,[4]CENTRALA!$A$7:$D$100,4,FALSE),0)</f>
        <v>545092</v>
      </c>
      <c r="D28" s="13">
        <f t="shared" si="2"/>
        <v>545092</v>
      </c>
      <c r="E28" s="38" t="str">
        <f t="shared" si="0"/>
        <v>-</v>
      </c>
      <c r="F28" s="39">
        <f t="shared" si="1"/>
        <v>1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IFERROR(VLOOKUP(A29,[4]CENTRALA!$A$7:$D$100,4,FALSE),0)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IFERROR(VLOOKUP(A30,[4]CENTRALA!$A$7:$D$100,4,FALSE),0)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IFERROR(VLOOKUP(A31,[4]CENTRALA!$A$7:$D$100,4,FALSE),0)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IFERROR(VLOOKUP(A32,[4]CENTRALA!$A$7:$D$100,4,FALSE),0)</f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IFERROR(VLOOKUP(A33,[4]CENTRALA!$A$7:$D$100,4,FALSE),0)</f>
        <v>50000</v>
      </c>
      <c r="D33" s="13">
        <f t="shared" si="2"/>
        <v>50000</v>
      </c>
      <c r="E33" s="38" t="str">
        <f>IF(C33=D33,"-",D33-C33)</f>
        <v>-</v>
      </c>
      <c r="F33" s="39">
        <f>IF(C33=0,"-",D33/C33)</f>
        <v>1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IFERROR(VLOOKUP(A34,[4]CENTRALA!$A$7:$D$100,4,FALSE),0)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IFERROR(VLOOKUP(A35,[4]CENTRALA!$A$7:$D$100,4,FALSE),0)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IFERROR(VLOOKUP(A36,[4]CENTRALA!$A$7:$D$100,4,FALSE),0)</f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IFERROR(VLOOKUP(A37,[4]CENTRALA!$A$7:$D$100,4,FALSE),0)</f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0</v>
      </c>
      <c r="D38" s="32">
        <f>D11+D13+D24+D30</f>
        <v>0</v>
      </c>
      <c r="E38" s="7" t="str">
        <f t="shared" si="0"/>
        <v>-</v>
      </c>
      <c r="F38" s="40" t="str">
        <f t="shared" si="1"/>
        <v>-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233968</v>
      </c>
      <c r="D39" s="87">
        <f>D40+D41+D42+D50+D52+D58+D59+D57</f>
        <v>233968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IFERROR(VLOOKUP(A40,[4]CENTRALA!$A$7:$D$100,4,FALSE),0)</f>
        <v>3632</v>
      </c>
      <c r="D40" s="33">
        <f>C40</f>
        <v>3632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IFERROR(VLOOKUP(A41,[4]CENTRALA!$A$7:$D$100,4,FALSE),0)</f>
        <v>116349</v>
      </c>
      <c r="D41" s="33">
        <f t="shared" ref="D41:D59" si="3">C41</f>
        <v>116349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713</v>
      </c>
      <c r="D42" s="33">
        <f>D43+D45+D46+D47+D48+D49</f>
        <v>713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IFERROR(VLOOKUP(A43,[4]CENTRALA!$A$7:$D$100,4,FALSE),0)</f>
        <v>100</v>
      </c>
      <c r="D43" s="33">
        <f t="shared" si="3"/>
        <v>100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IFERROR(VLOOKUP(A44,[4]CENTRALA!$A$7:$D$100,4,FALSE),0)</f>
        <v>100</v>
      </c>
      <c r="D44" s="33">
        <f t="shared" si="3"/>
        <v>100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IFERROR(VLOOKUP(A45,[4]CENTRALA!$A$7:$D$100,4,FALSE),0)</f>
        <v>94</v>
      </c>
      <c r="D45" s="33">
        <f t="shared" si="3"/>
        <v>94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IFERROR(VLOOKUP(A46,[4]CENTRALA!$A$7:$D$100,4,FALSE),0)</f>
        <v>22</v>
      </c>
      <c r="D46" s="33">
        <f t="shared" si="3"/>
        <v>22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IFERROR(VLOOKUP(A47,[4]CENTRALA!$A$7:$D$100,4,FALSE),0)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IFERROR(VLOOKUP(A48,[4]CENTRALA!$A$7:$D$100,4,FALSE),0)</f>
        <v>382</v>
      </c>
      <c r="D48" s="33">
        <f t="shared" si="3"/>
        <v>382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IFERROR(VLOOKUP(A49,[4]CENTRALA!$A$7:$D$100,4,FALSE),0)</f>
        <v>115</v>
      </c>
      <c r="D49" s="33">
        <f t="shared" si="3"/>
        <v>115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IFERROR(VLOOKUP(A50,[4]CENTRALA!$A$7:$D$100,4,FALSE),0)</f>
        <v>37918</v>
      </c>
      <c r="D50" s="33">
        <f t="shared" si="3"/>
        <v>37918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IFERROR(VLOOKUP(A51,[4]CENTRALA!$A$7:$D$100,4,FALSE),0)</f>
        <v>358</v>
      </c>
      <c r="D51" s="33">
        <f t="shared" si="3"/>
        <v>358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9399</v>
      </c>
      <c r="D52" s="29">
        <f>D53+D54+D55+D56</f>
        <v>9399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IFERROR(VLOOKUP(A53,[4]CENTRALA!$A$7:$D$100,4,FALSE),0)</f>
        <v>6519</v>
      </c>
      <c r="D53" s="33">
        <f t="shared" si="3"/>
        <v>6519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IFERROR(VLOOKUP(A54,[4]CENTRALA!$A$7:$D$100,4,FALSE),0)</f>
        <v>930</v>
      </c>
      <c r="D54" s="33">
        <f t="shared" si="3"/>
        <v>930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IFERROR(VLOOKUP(A55,[4]CENTRALA!$A$7:$D$100,4,FALSE),0)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IFERROR(VLOOKUP(A56,[4]CENTRALA!$A$7:$D$100,4,FALSE),0)</f>
        <v>1950</v>
      </c>
      <c r="D56" s="33">
        <f t="shared" si="3"/>
        <v>1950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IFERROR(VLOOKUP(A57,[4]CENTRALA!$A$7:$D$100,4,FALSE),0)</f>
        <v>50</v>
      </c>
      <c r="D57" s="33">
        <f t="shared" si="3"/>
        <v>50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IFERROR(VLOOKUP(A58,[4]CENTRALA!$A$7:$D$100,4,FALSE),0)</f>
        <v>64000</v>
      </c>
      <c r="D58" s="33">
        <f t="shared" si="3"/>
        <v>64000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IFERROR(VLOOKUP(A59,[4]CENTRALA!$A$7:$D$100,4,FALSE),0)</f>
        <v>1907</v>
      </c>
      <c r="D59" s="33">
        <f t="shared" si="3"/>
        <v>1907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7555</v>
      </c>
      <c r="D60" s="107">
        <f>D61+D62+D63+D64</f>
        <v>41220</v>
      </c>
      <c r="E60" s="83">
        <f t="shared" si="0"/>
        <v>33665</v>
      </c>
      <c r="F60" s="108">
        <f t="shared" si="1"/>
        <v>5.4560000000000004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IFERROR(VLOOKUP(A61,[4]CENTRALA!$A$7:$D$100,4,FALSE),0)</f>
        <v>875</v>
      </c>
      <c r="D61" s="33">
        <f>C61-335</f>
        <v>540</v>
      </c>
      <c r="E61" s="29">
        <f t="shared" si="0"/>
        <v>-335</v>
      </c>
      <c r="F61" s="39">
        <f t="shared" si="1"/>
        <v>0.61709999999999998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IFERROR(VLOOKUP(A62,[4]CENTRALA!$A$7:$D$100,4,FALSE),0)</f>
        <v>1180</v>
      </c>
      <c r="D62" s="33">
        <f>C62-500</f>
        <v>680</v>
      </c>
      <c r="E62" s="29">
        <f t="shared" si="0"/>
        <v>-500</v>
      </c>
      <c r="F62" s="39">
        <f t="shared" si="1"/>
        <v>0.57630000000000003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IFERROR(VLOOKUP(A63,[4]CENTRALA!$A$7:$D$100,4,FALSE),0)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IFERROR(VLOOKUP(A64,[4]CENTRALA!$A$7:$D$100,4,FALSE),0)</f>
        <v>5500</v>
      </c>
      <c r="D64" s="33">
        <f>C64+34500</f>
        <v>40000</v>
      </c>
      <c r="E64" s="29">
        <f t="shared" si="0"/>
        <v>34500</v>
      </c>
      <c r="F64" s="39">
        <f t="shared" si="1"/>
        <v>7.2727000000000004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IFERROR(VLOOKUP(A65,[4]CENTRALA!$A$7:$D$100,4,FALSE),0)</f>
        <v>30182</v>
      </c>
      <c r="D65" s="107">
        <f>C65-10182-50</f>
        <v>19950</v>
      </c>
      <c r="E65" s="83">
        <f t="shared" si="0"/>
        <v>-10232</v>
      </c>
      <c r="F65" s="108">
        <f t="shared" si="1"/>
        <v>0.66100000000000003</v>
      </c>
    </row>
    <row r="71" spans="1:6" x14ac:dyDescent="0.2">
      <c r="C71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view="pageBreakPreview" zoomScale="55" zoomScaleNormal="60" zoomScaleSheetLayoutView="55" workbookViewId="0">
      <pane xSplit="2" ySplit="6" topLeftCell="C46" activePane="bottomRight" state="frozen"/>
      <selection activeCell="D6" sqref="D6:D93"/>
      <selection pane="topRight" activeCell="D6" sqref="D6:D93"/>
      <selection pane="bottomLeft" activeCell="D6" sqref="D6:D93"/>
      <selection pane="bottomRigh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168</v>
      </c>
      <c r="B2" s="67"/>
      <c r="C2" s="67"/>
    </row>
    <row r="3" spans="1:6" ht="33" customHeight="1" x14ac:dyDescent="0.25">
      <c r="A3" s="4"/>
      <c r="B3" s="5"/>
      <c r="C3" s="35"/>
      <c r="D3" s="43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75804376</v>
      </c>
      <c r="D6" s="102">
        <f>D7+D8+D9+D14+D15+D16+D17+D18+D19+D20+D21+D22+D23+D24+D28+D29+D31+D32+D33+D34</f>
        <v>76063934</v>
      </c>
      <c r="E6" s="83">
        <f>IF(C6=D6,"-",D6-C6)</f>
        <v>259558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10170509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10170509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5636323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5636323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38480221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38739779</v>
      </c>
      <c r="E9" s="38">
        <f t="shared" si="0"/>
        <v>259558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3624798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3624798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3294212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3294212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1438758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1438758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675753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675753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2685552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2685552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2319811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2319811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1437581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1437581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663523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663523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1834124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1834124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660225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660225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49282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49282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196199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196199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2098096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2098096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1029387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1029387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8286218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8286218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8251475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8251475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20477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20477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14266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14266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221495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221495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35830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35830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7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2804</v>
      </c>
      <c r="D35" s="37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2804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1923442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1923442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564300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564300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12256183</v>
      </c>
      <c r="D38" s="32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12256183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519194</v>
      </c>
      <c r="D39" s="87">
        <f>D40+D41+D42+D50+D52+D58+D59+D57</f>
        <v>519194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22205</v>
      </c>
      <c r="D40" s="33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22205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69284</v>
      </c>
      <c r="D41" s="33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69284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3969</v>
      </c>
      <c r="D42" s="33">
        <f>D43+D45+D46+D47+D48+D49</f>
        <v>3969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514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514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511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586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0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2591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2591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273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273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303174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303174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825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825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68236</v>
      </c>
      <c r="D52" s="29">
        <f>D53+D54+D55+D56</f>
        <v>68236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51871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51871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7235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7235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9130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9130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48061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48061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4265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4265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226121</v>
      </c>
      <c r="D60" s="107">
        <f>D61+D62+D63+D64</f>
        <v>193814</v>
      </c>
      <c r="E60" s="83">
        <f t="shared" si="0"/>
        <v>-32307</v>
      </c>
      <c r="F60" s="108">
        <f t="shared" si="1"/>
        <v>0.85709999999999997</v>
      </c>
    </row>
    <row r="61" spans="1:6" ht="42" customHeight="1" x14ac:dyDescent="0.2">
      <c r="A61" s="51" t="s">
        <v>100</v>
      </c>
      <c r="B61" s="18" t="s">
        <v>113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394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359</v>
      </c>
      <c r="E61" s="29">
        <f t="shared" si="0"/>
        <v>-35</v>
      </c>
      <c r="F61" s="39">
        <f t="shared" si="1"/>
        <v>0.91120000000000001</v>
      </c>
    </row>
    <row r="62" spans="1:6" ht="31.5" customHeight="1" x14ac:dyDescent="0.2">
      <c r="A62" s="51" t="s">
        <v>29</v>
      </c>
      <c r="B62" s="18" t="s">
        <v>54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191158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162759</v>
      </c>
      <c r="E62" s="29">
        <f t="shared" si="0"/>
        <v>-28399</v>
      </c>
      <c r="F62" s="39">
        <f t="shared" si="1"/>
        <v>0.85140000000000005</v>
      </c>
    </row>
    <row r="63" spans="1:6" ht="31.5" customHeight="1" x14ac:dyDescent="0.2">
      <c r="A63" s="51" t="s">
        <v>30</v>
      </c>
      <c r="B63" s="18" t="s">
        <v>102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0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34569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30696</v>
      </c>
      <c r="E64" s="29">
        <f t="shared" si="0"/>
        <v>-3873</v>
      </c>
      <c r="F64" s="39">
        <f t="shared" si="1"/>
        <v>0.88800000000000001</v>
      </c>
    </row>
    <row r="65" spans="1:6" ht="32.25" customHeight="1" x14ac:dyDescent="0.2">
      <c r="A65" s="94" t="s">
        <v>135</v>
      </c>
      <c r="B65" s="95" t="s">
        <v>114</v>
      </c>
      <c r="C65" s="107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55871</v>
      </c>
      <c r="D65" s="107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48906</v>
      </c>
      <c r="E65" s="83">
        <f t="shared" si="0"/>
        <v>-6965</v>
      </c>
      <c r="F65" s="108">
        <f t="shared" si="1"/>
        <v>0.87529999999999997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  <ignoredErrors>
    <ignoredError sqref="C58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D6" sqref="D6:D93"/>
      <selection pane="bottomLef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5686302</v>
      </c>
      <c r="D6" s="102">
        <f>D7+D8+D9+D14+D15+D16+D17+D18+D19+D20+D21+D22+D23+D24+D28+D29+D31+D32+D33+D34</f>
        <v>5705771</v>
      </c>
      <c r="E6" s="83">
        <f>IF(C6=D6,"-",D6-C6)</f>
        <v>19469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IFERROR(VLOOKUP(A7,[4]Dolnośląski!$A$7:$D$100,4,FALSE),0)</f>
        <v>762998</v>
      </c>
      <c r="D7" s="13">
        <f>C7</f>
        <v>762998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IFERROR(VLOOKUP(A8,[4]Dolnośląski!$A$7:$D$100,4,FALSE),0)</f>
        <v>423209</v>
      </c>
      <c r="D8" s="13">
        <f>C8</f>
        <v>423209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IFERROR(VLOOKUP(A9,[4]Dolnośląski!$A$7:$D$100,4,FALSE),0)</f>
        <v>2875226</v>
      </c>
      <c r="D9" s="13">
        <f>C9+19469</f>
        <v>2894695</v>
      </c>
      <c r="E9" s="38">
        <f t="shared" si="0"/>
        <v>19469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IFERROR(VLOOKUP(A10,[4]Dolnośląski!$A$7:$D$100,4,FALSE),0)</f>
        <v>281712</v>
      </c>
      <c r="D10" s="13">
        <f t="shared" ref="D10:D12" si="2">C10</f>
        <v>281712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IFERROR(VLOOKUP(A11,[4]Dolnośląski!$A$7:$D$100,4,FALSE),0)</f>
        <v>257192</v>
      </c>
      <c r="D11" s="13">
        <f t="shared" si="2"/>
        <v>257192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IFERROR(VLOOKUP(A12,[4]Dolnośląski!$A$7:$D$100,4,FALSE),0)</f>
        <v>116591</v>
      </c>
      <c r="D12" s="13">
        <f t="shared" si="2"/>
        <v>116591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IFERROR(VLOOKUP(A13,[4]Dolnośląski!$A$7:$D$100,4,FALSE),0)</f>
        <v>50995</v>
      </c>
      <c r="D13" s="13">
        <f t="shared" ref="D13:D34" si="3">C13</f>
        <v>50995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IFERROR(VLOOKUP(A14,[4]Dolnośląski!$A$7:$D$100,4,FALSE),0)</f>
        <v>209651</v>
      </c>
      <c r="D14" s="13">
        <f t="shared" si="3"/>
        <v>209651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IFERROR(VLOOKUP(A15,[4]Dolnośląski!$A$7:$D$100,4,FALSE),0)</f>
        <v>180579</v>
      </c>
      <c r="D15" s="13">
        <f t="shared" si="3"/>
        <v>180579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IFERROR(VLOOKUP(A16,[4]Dolnośląski!$A$7:$D$100,4,FALSE),0)</f>
        <v>120014</v>
      </c>
      <c r="D16" s="13">
        <f t="shared" si="3"/>
        <v>120014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IFERROR(VLOOKUP(A17,[4]Dolnośląski!$A$7:$D$100,4,FALSE),0)</f>
        <v>62744</v>
      </c>
      <c r="D17" s="13">
        <f t="shared" si="3"/>
        <v>62744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IFERROR(VLOOKUP(A18,[4]Dolnośląski!$A$7:$D$100,4,FALSE),0)</f>
        <v>122937</v>
      </c>
      <c r="D18" s="13">
        <f t="shared" si="3"/>
        <v>122937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IFERROR(VLOOKUP(A19,[4]Dolnośląski!$A$7:$D$100,4,FALSE),0)</f>
        <v>64571</v>
      </c>
      <c r="D19" s="13">
        <f t="shared" si="3"/>
        <v>64571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IFERROR(VLOOKUP(A20,[4]Dolnośląski!$A$7:$D$100,4,FALSE),0)</f>
        <v>4782</v>
      </c>
      <c r="D20" s="13">
        <f t="shared" si="3"/>
        <v>4782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IFERROR(VLOOKUP(A21,[4]Dolnośląski!$A$7:$D$100,4,FALSE),0)</f>
        <v>15204</v>
      </c>
      <c r="D21" s="13">
        <f t="shared" si="3"/>
        <v>15204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IFERROR(VLOOKUP(A22,[4]Dolnośląski!$A$7:$D$100,4,FALSE),0)</f>
        <v>141045</v>
      </c>
      <c r="D22" s="13">
        <f t="shared" si="3"/>
        <v>141045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IFERROR(VLOOKUP(A23,[4]Dolnośląski!$A$7:$D$100,4,FALSE),0)</f>
        <v>84300</v>
      </c>
      <c r="D23" s="13">
        <f t="shared" si="3"/>
        <v>84300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IFERROR(VLOOKUP(A24,[4]Dolnośląski!$A$7:$D$100,4,FALSE),0)</f>
        <v>610761</v>
      </c>
      <c r="D24" s="31">
        <f>SUM(D25:D27)</f>
        <v>610761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IFERROR(VLOOKUP(A25,[4]Dolnośląski!$A$7:$D$100,4,FALSE),0)</f>
        <v>608761</v>
      </c>
      <c r="D25" s="13">
        <f t="shared" si="3"/>
        <v>608761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IFERROR(VLOOKUP(A26,[4]Dolnośląski!$A$7:$D$100,4,FALSE),0)</f>
        <v>1000</v>
      </c>
      <c r="D26" s="13">
        <f t="shared" si="3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IFERROR(VLOOKUP(A27,[4]Dolnośląski!$A$7:$D$100,4,FALSE),0)</f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IFERROR(VLOOKUP(A28,[4]Dolnośląski!$A$7:$D$100,4,FALSE),0)</f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IFERROR(VLOOKUP(A29,[4]Dolnośląski!$A$7:$D$100,4,FALSE),0)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IFERROR(VLOOKUP(A30,[4]Dolnośląski!$A$7:$D$100,4,FALSE),0)</f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IFERROR(VLOOKUP(A31,[4]Dolnośląski!$A$7:$D$100,4,FALSE),0)</f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IFERROR(VLOOKUP(A32,[4]Dolnośląski!$A$7:$D$100,4,FALSE),0)</f>
        <v>8181</v>
      </c>
      <c r="D32" s="13">
        <f t="shared" si="3"/>
        <v>8181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IFERROR(VLOOKUP(A33,[4]Dolnośląski!$A$7:$D$100,4,FALSE),0)</f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IFERROR(VLOOKUP(A34,[4]Dolnośląski!$A$7:$D$100,4,FALSE),0)</f>
        <v>100</v>
      </c>
      <c r="D34" s="13">
        <f t="shared" si="3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IFERROR(VLOOKUP(A35,[4]Dolnośląski!$A$7:$D$100,4,FALSE),0)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IFERROR(VLOOKUP(A36,[4]Dolnośląski!$A$7:$D$100,4,FALSE),0)</f>
        <v>145215</v>
      </c>
      <c r="D36" s="37">
        <f>C36</f>
        <v>145215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IFERROR(VLOOKUP(A37,[4]Dolnośląski!$A$7:$D$100,4,FALSE),0)</f>
        <v>43362</v>
      </c>
      <c r="D37" s="37">
        <f>C37</f>
        <v>43362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918948</v>
      </c>
      <c r="D38" s="32">
        <f>D11+D13+D24+D30</f>
        <v>918948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36700</v>
      </c>
      <c r="D39" s="87">
        <f>D40+D41+D42+D50+D52+D58+D59+D57</f>
        <v>36700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IFERROR(VLOOKUP(A40,[4]Dolnośląski!$A$7:$D$100,4,FALSE),0)</f>
        <v>1397</v>
      </c>
      <c r="D40" s="33">
        <f>C40</f>
        <v>1397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IFERROR(VLOOKUP(A41,[4]Dolnośląski!$A$7:$D$100,4,FALSE),0)</f>
        <v>4690</v>
      </c>
      <c r="D41" s="33">
        <f t="shared" ref="D41:D59" si="4">C41</f>
        <v>4690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351</v>
      </c>
      <c r="D42" s="33">
        <f>D43+D45+D46+D47+D48+D49</f>
        <v>351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IFERROR(VLOOKUP(A43,[4]Dolnośląski!$A$7:$D$100,4,FALSE),0)</f>
        <v>54</v>
      </c>
      <c r="D43" s="33">
        <f t="shared" si="4"/>
        <v>54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IFERROR(VLOOKUP(A44,[4]Dolnośląski!$A$7:$D$100,4,FALSE),0)</f>
        <v>54</v>
      </c>
      <c r="D44" s="33">
        <f t="shared" si="4"/>
        <v>54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IFERROR(VLOOKUP(A45,[4]Dolnośląski!$A$7:$D$100,4,FALSE),0)</f>
        <v>66</v>
      </c>
      <c r="D45" s="33">
        <f t="shared" si="4"/>
        <v>66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IFERROR(VLOOKUP(A46,[4]Dolnośląski!$A$7:$D$100,4,FALSE),0)</f>
        <v>1</v>
      </c>
      <c r="D46" s="33">
        <f t="shared" si="4"/>
        <v>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IFERROR(VLOOKUP(A47,[4]Dolnośląski!$A$7:$D$100,4,FALSE),0)</f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IFERROR(VLOOKUP(A48,[4]Dolnośląski!$A$7:$D$100,4,FALSE),0)</f>
        <v>228</v>
      </c>
      <c r="D48" s="33">
        <f t="shared" si="4"/>
        <v>228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IFERROR(VLOOKUP(A49,[4]Dolnośląski!$A$7:$D$100,4,FALSE),0)</f>
        <v>2</v>
      </c>
      <c r="D49" s="33">
        <f t="shared" si="4"/>
        <v>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IFERROR(VLOOKUP(A50,[4]Dolnośląski!$A$7:$D$100,4,FALSE),0)</f>
        <v>21910</v>
      </c>
      <c r="D50" s="33">
        <f t="shared" si="4"/>
        <v>21910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IFERROR(VLOOKUP(A51,[4]Dolnośląski!$A$7:$D$100,4,FALSE),0)</f>
        <v>100</v>
      </c>
      <c r="D51" s="33">
        <f t="shared" si="4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4925</v>
      </c>
      <c r="D52" s="29">
        <f>D53+D54+D55+D56</f>
        <v>4925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IFERROR(VLOOKUP(A53,[4]Dolnośląski!$A$7:$D$100,4,FALSE),0)</f>
        <v>3659</v>
      </c>
      <c r="D53" s="33">
        <f t="shared" si="4"/>
        <v>3659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IFERROR(VLOOKUP(A54,[4]Dolnośląski!$A$7:$D$100,4,FALSE),0)</f>
        <v>441</v>
      </c>
      <c r="D54" s="33">
        <f t="shared" si="4"/>
        <v>441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IFERROR(VLOOKUP(A55,[4]Dolnośląski!$A$7:$D$100,4,FALSE),0)</f>
        <v>0</v>
      </c>
      <c r="D55" s="33">
        <f t="shared" si="4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IFERROR(VLOOKUP(A56,[4]Dolnośląski!$A$7:$D$100,4,FALSE),0)</f>
        <v>825</v>
      </c>
      <c r="D56" s="33">
        <f t="shared" si="4"/>
        <v>825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IFERROR(VLOOKUP(A57,[4]Dolnośląski!$A$7:$D$100,4,FALSE),0)</f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IFERROR(VLOOKUP(A58,[4]Dolnośląski!$A$7:$D$100,4,FALSE),0)</f>
        <v>3232</v>
      </c>
      <c r="D58" s="33">
        <f t="shared" si="4"/>
        <v>3232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IFERROR(VLOOKUP(A59,[4]Dolnośląski!$A$7:$D$100,4,FALSE),0)</f>
        <v>195</v>
      </c>
      <c r="D59" s="33">
        <f t="shared" si="4"/>
        <v>195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16705</v>
      </c>
      <c r="D60" s="107">
        <f>D61+D62+D63+D64</f>
        <v>6301</v>
      </c>
      <c r="E60" s="83">
        <f t="shared" si="0"/>
        <v>-10404</v>
      </c>
      <c r="F60" s="108">
        <f t="shared" si="1"/>
        <v>0.37719999999999998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IFERROR(VLOOKUP(A61,[4]Dolnośląski!$A$7:$D$100,4,FALSE),0)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IFERROR(VLOOKUP(A62,[4]Dolnośląski!$A$7:$D$100,4,FALSE),0)</f>
        <v>15045</v>
      </c>
      <c r="D62" s="33">
        <f>C62-11891</f>
        <v>3154</v>
      </c>
      <c r="E62" s="29">
        <f t="shared" si="0"/>
        <v>-11891</v>
      </c>
      <c r="F62" s="39">
        <f t="shared" si="1"/>
        <v>0.20960000000000001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IFERROR(VLOOKUP(A63,[4]Dolnośląski!$A$7:$D$100,4,FALSE),0)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IFERROR(VLOOKUP(A64,[4]Dolnośląski!$A$7:$D$100,4,FALSE),0)</f>
        <v>1660</v>
      </c>
      <c r="D64" s="33">
        <f>C64+1487</f>
        <v>3147</v>
      </c>
      <c r="E64" s="29">
        <f t="shared" si="0"/>
        <v>1487</v>
      </c>
      <c r="F64" s="39">
        <f t="shared" si="1"/>
        <v>1.8957999999999999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IFERROR(VLOOKUP(A65,[4]Dolnośląski!$A$7:$D$100,4,FALSE),0)</f>
        <v>1981</v>
      </c>
      <c r="D65" s="107">
        <f>C65+548</f>
        <v>2529</v>
      </c>
      <c r="E65" s="83">
        <f t="shared" si="0"/>
        <v>548</v>
      </c>
      <c r="F65" s="108">
        <f t="shared" si="1"/>
        <v>1.2766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4071726</v>
      </c>
      <c r="D6" s="102">
        <f>D7+D8+D9+D14+D15+D16+D17+D18+D19+D20+D21+D22+D23+D24+D28+D29+D31+D32+D33+D34</f>
        <v>4085707</v>
      </c>
      <c r="E6" s="83">
        <f>IF(C6=D6,"-",D6-C6)</f>
        <v>13981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IFERROR(VLOOKUP(A7,[4]KujawskoPomorski!$A$7:$D$100,4,FALSE),0)</f>
        <v>549600</v>
      </c>
      <c r="D7" s="13">
        <f>C7</f>
        <v>549600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IFERROR(VLOOKUP(A8,[4]KujawskoPomorski!$A$7:$D$100,4,FALSE),0)</f>
        <v>284581</v>
      </c>
      <c r="D8" s="13">
        <f>C8</f>
        <v>284581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IFERROR(VLOOKUP(A9,[4]KujawskoPomorski!$A$7:$D$100,4,FALSE),0)</f>
        <v>2073217</v>
      </c>
      <c r="D9" s="13">
        <f>C9+13981</f>
        <v>2087198</v>
      </c>
      <c r="E9" s="38">
        <f t="shared" si="0"/>
        <v>13981</v>
      </c>
      <c r="F9" s="39">
        <f t="shared" si="1"/>
        <v>1.0066999999999999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IFERROR(VLOOKUP(A10,[4]KujawskoPomorski!$A$7:$D$100,4,FALSE),0)</f>
        <v>170807</v>
      </c>
      <c r="D10" s="13">
        <f t="shared" ref="D10:D34" si="2">C10</f>
        <v>170807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IFERROR(VLOOKUP(A11,[4]KujawskoPomorski!$A$7:$D$100,4,FALSE),0)</f>
        <v>154647</v>
      </c>
      <c r="D11" s="13">
        <f t="shared" si="2"/>
        <v>154647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IFERROR(VLOOKUP(A12,[4]KujawskoPomorski!$A$7:$D$100,4,FALSE),0)</f>
        <v>69836</v>
      </c>
      <c r="D12" s="13">
        <f t="shared" si="2"/>
        <v>69836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IFERROR(VLOOKUP(A13,[4]KujawskoPomorski!$A$7:$D$100,4,FALSE),0)</f>
        <v>33838</v>
      </c>
      <c r="D13" s="13">
        <f t="shared" si="2"/>
        <v>33838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IFERROR(VLOOKUP(A14,[4]KujawskoPomorski!$A$7:$D$100,4,FALSE),0)</f>
        <v>141017</v>
      </c>
      <c r="D14" s="13">
        <f t="shared" si="2"/>
        <v>141017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IFERROR(VLOOKUP(A15,[4]KujawskoPomorski!$A$7:$D$100,4,FALSE),0)</f>
        <v>105153</v>
      </c>
      <c r="D15" s="13">
        <f t="shared" si="2"/>
        <v>105153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IFERROR(VLOOKUP(A16,[4]KujawskoPomorski!$A$7:$D$100,4,FALSE),0)</f>
        <v>64633</v>
      </c>
      <c r="D16" s="13">
        <f t="shared" si="2"/>
        <v>64633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IFERROR(VLOOKUP(A17,[4]KujawskoPomorski!$A$7:$D$100,4,FALSE),0)</f>
        <v>42467</v>
      </c>
      <c r="D17" s="13">
        <f t="shared" si="2"/>
        <v>42467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IFERROR(VLOOKUP(A18,[4]KujawskoPomorski!$A$7:$D$100,4,FALSE),0)</f>
        <v>98133</v>
      </c>
      <c r="D18" s="13">
        <f t="shared" si="2"/>
        <v>98133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IFERROR(VLOOKUP(A19,[4]KujawskoPomorski!$A$7:$D$100,4,FALSE),0)</f>
        <v>35327</v>
      </c>
      <c r="D19" s="13">
        <f t="shared" si="2"/>
        <v>35327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IFERROR(VLOOKUP(A20,[4]KujawskoPomorski!$A$7:$D$100,4,FALSE),0)</f>
        <v>2977</v>
      </c>
      <c r="D20" s="13">
        <f t="shared" si="2"/>
        <v>2977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IFERROR(VLOOKUP(A21,[4]KujawskoPomorski!$A$7:$D$100,4,FALSE),0)</f>
        <v>11930</v>
      </c>
      <c r="D21" s="13">
        <f t="shared" si="2"/>
        <v>11930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IFERROR(VLOOKUP(A22,[4]KujawskoPomorski!$A$7:$D$100,4,FALSE),0)</f>
        <v>109824</v>
      </c>
      <c r="D22" s="13">
        <f t="shared" si="2"/>
        <v>109824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IFERROR(VLOOKUP(A23,[4]KujawskoPomorski!$A$7:$D$100,4,FALSE),0)</f>
        <v>54546</v>
      </c>
      <c r="D23" s="13">
        <f t="shared" si="2"/>
        <v>54546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IFERROR(VLOOKUP(A24,[4]KujawskoPomorski!$A$7:$D$100,4,FALSE),0)</f>
        <v>475111</v>
      </c>
      <c r="D24" s="31">
        <f>SUM(D25:D27)</f>
        <v>475111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IFERROR(VLOOKUP(A25,[4]KujawskoPomorski!$A$7:$D$100,4,FALSE),0)</f>
        <v>474078</v>
      </c>
      <c r="D25" s="13">
        <f t="shared" si="2"/>
        <v>474078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IFERROR(VLOOKUP(A26,[4]KujawskoPomorski!$A$7:$D$100,4,FALSE),0)</f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IFERROR(VLOOKUP(A27,[4]KujawskoPomorski!$A$7:$D$100,4,FALSE),0)</f>
        <v>433</v>
      </c>
      <c r="D27" s="13">
        <f t="shared" si="2"/>
        <v>433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IFERROR(VLOOKUP(A28,[4]KujawskoPomorski!$A$7:$D$100,4,FALSE),0)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IFERROR(VLOOKUP(A29,[4]KujawskoPomorski!$A$7:$D$100,4,FALSE),0)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IFERROR(VLOOKUP(A30,[4]KujawskoPomorski!$A$7:$D$100,4,FALSE),0)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IFERROR(VLOOKUP(A31,[4]KujawskoPomorski!$A$7:$D$100,4,FALSE),0)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IFERROR(VLOOKUP(A32,[4]KujawskoPomorski!$A$7:$D$100,4,FALSE),0)</f>
        <v>23110</v>
      </c>
      <c r="D32" s="13">
        <f t="shared" si="2"/>
        <v>23110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IFERROR(VLOOKUP(A33,[4]KujawskoPomorski!$A$7:$D$100,4,FALSE),0)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IFERROR(VLOOKUP(A34,[4]KujawskoPomorski!$A$7:$D$100,4,FALSE),0)</f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IFERROR(VLOOKUP(A35,[4]KujawskoPomorski!$A$7:$D$100,4,FALSE),0)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IFERROR(VLOOKUP(A36,[4]KujawskoPomorski!$A$7:$D$100,4,FALSE),0)</f>
        <v>112602</v>
      </c>
      <c r="D36" s="37">
        <f>C36</f>
        <v>112602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IFERROR(VLOOKUP(A37,[4]KujawskoPomorski!$A$7:$D$100,4,FALSE),0)</f>
        <v>32592</v>
      </c>
      <c r="D37" s="37">
        <f>C37</f>
        <v>32592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663596</v>
      </c>
      <c r="D38" s="32">
        <f>D11+D13+D24+D30</f>
        <v>663596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31600</v>
      </c>
      <c r="D39" s="87">
        <f>D40+D41+D42+D50+D52+D58+D59+D57</f>
        <v>31600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IFERROR(VLOOKUP(A40,[4]KujawskoPomorski!$A$7:$D$100,4,FALSE),0)</f>
        <v>2740</v>
      </c>
      <c r="D40" s="33">
        <f>C40</f>
        <v>2740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IFERROR(VLOOKUP(A41,[4]KujawskoPomorski!$A$7:$D$100,4,FALSE),0)</f>
        <v>4502</v>
      </c>
      <c r="D41" s="33">
        <f t="shared" ref="D41:D59" si="3">C41</f>
        <v>4502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236</v>
      </c>
      <c r="D42" s="33">
        <f>D43+D45+D46+D47+D48+D49</f>
        <v>236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IFERROR(VLOOKUP(A43,[4]KujawskoPomorski!$A$7:$D$100,4,FALSE),0)</f>
        <v>33</v>
      </c>
      <c r="D43" s="33">
        <f t="shared" si="3"/>
        <v>33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IFERROR(VLOOKUP(A44,[4]KujawskoPomorski!$A$7:$D$100,4,FALSE),0)</f>
        <v>33</v>
      </c>
      <c r="D44" s="33">
        <f t="shared" si="3"/>
        <v>33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IFERROR(VLOOKUP(A45,[4]KujawskoPomorski!$A$7:$D$100,4,FALSE),0)</f>
        <v>26</v>
      </c>
      <c r="D45" s="33">
        <f t="shared" si="3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IFERROR(VLOOKUP(A46,[4]KujawskoPomorski!$A$7:$D$100,4,FALSE),0)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IFERROR(VLOOKUP(A47,[4]KujawskoPomorski!$A$7:$D$100,4,FALSE),0)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IFERROR(VLOOKUP(A48,[4]KujawskoPomorski!$A$7:$D$100,4,FALSE),0)</f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IFERROR(VLOOKUP(A49,[4]KujawskoPomorski!$A$7:$D$100,4,FALSE),0)</f>
        <v>10</v>
      </c>
      <c r="D49" s="33">
        <f t="shared" si="3"/>
        <v>10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IFERROR(VLOOKUP(A50,[4]KujawskoPomorski!$A$7:$D$100,4,FALSE),0)</f>
        <v>15346</v>
      </c>
      <c r="D50" s="33">
        <f t="shared" si="3"/>
        <v>15346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IFERROR(VLOOKUP(A51,[4]KujawskoPomorski!$A$7:$D$100,4,FALSE),0)</f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3453</v>
      </c>
      <c r="D52" s="29">
        <f>D53+D54+D55+D56</f>
        <v>3453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IFERROR(VLOOKUP(A53,[4]KujawskoPomorski!$A$7:$D$100,4,FALSE),0)</f>
        <v>2576</v>
      </c>
      <c r="D53" s="33">
        <f t="shared" si="3"/>
        <v>2576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IFERROR(VLOOKUP(A54,[4]KujawskoPomorski!$A$7:$D$100,4,FALSE),0)</f>
        <v>297</v>
      </c>
      <c r="D54" s="33">
        <f t="shared" si="3"/>
        <v>297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IFERROR(VLOOKUP(A55,[4]KujawskoPomorski!$A$7:$D$100,4,FALSE),0)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IFERROR(VLOOKUP(A56,[4]KujawskoPomorski!$A$7:$D$100,4,FALSE),0)</f>
        <v>580</v>
      </c>
      <c r="D56" s="33">
        <f t="shared" si="3"/>
        <v>580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IFERROR(VLOOKUP(A57,[4]KujawskoPomorski!$A$7:$D$100,4,FALSE),0)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IFERROR(VLOOKUP(A58,[4]KujawskoPomorski!$A$7:$D$100,4,FALSE),0)</f>
        <v>5025</v>
      </c>
      <c r="D58" s="33">
        <f t="shared" si="3"/>
        <v>5025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IFERROR(VLOOKUP(A59,[4]KujawskoPomorski!$A$7:$D$100,4,FALSE),0)</f>
        <v>298</v>
      </c>
      <c r="D59" s="33">
        <f t="shared" si="3"/>
        <v>298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45501</v>
      </c>
      <c r="D60" s="107">
        <f>D61+D62+D63+D64</f>
        <v>32409</v>
      </c>
      <c r="E60" s="83">
        <f t="shared" si="0"/>
        <v>-13092</v>
      </c>
      <c r="F60" s="108">
        <f t="shared" si="1"/>
        <v>0.71230000000000004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IFERROR(VLOOKUP(A61,[4]KujawskoPomorski!$A$7:$D$100,4,FALSE),0)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IFERROR(VLOOKUP(A62,[4]KujawskoPomorski!$A$7:$D$100,4,FALSE),0)</f>
        <v>38601</v>
      </c>
      <c r="D62" s="33">
        <f>C62-7060</f>
        <v>31541</v>
      </c>
      <c r="E62" s="29">
        <f t="shared" si="0"/>
        <v>-7060</v>
      </c>
      <c r="F62" s="39">
        <f t="shared" si="1"/>
        <v>0.81710000000000005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IFERROR(VLOOKUP(A63,[4]KujawskoPomorski!$A$7:$D$100,4,FALSE),0)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IFERROR(VLOOKUP(A64,[4]KujawskoPomorski!$A$7:$D$100,4,FALSE),0)</f>
        <v>6900</v>
      </c>
      <c r="D64" s="33">
        <f>C64-6032</f>
        <v>868</v>
      </c>
      <c r="E64" s="29">
        <f t="shared" si="0"/>
        <v>-6032</v>
      </c>
      <c r="F64" s="39">
        <f t="shared" si="1"/>
        <v>0.1258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IFERROR(VLOOKUP(A65,[4]KujawskoPomorski!$A$7:$D$100,4,FALSE),0)</f>
        <v>18259</v>
      </c>
      <c r="D65" s="107">
        <f>C65-4524</f>
        <v>13735</v>
      </c>
      <c r="E65" s="83">
        <f t="shared" si="0"/>
        <v>-4524</v>
      </c>
      <c r="F65" s="108">
        <f t="shared" si="1"/>
        <v>0.75219999999999998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K7" sqref="K7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4265320</v>
      </c>
      <c r="D6" s="102">
        <f>D7+D8+D9+D14+D15+D16+D17+D18+D19+D20+D21+D22+D23+D24+D28+D29+D31+D32+D33+D34</f>
        <v>4279996</v>
      </c>
      <c r="E6" s="83">
        <f>IF(C6=D6,"-",D6-C6)</f>
        <v>14676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IFERROR(VLOOKUP(A7,[4]Lubelski!$A$7:$D$100,4,FALSE),0)</f>
        <v>558216</v>
      </c>
      <c r="D7" s="13">
        <f>C7</f>
        <v>558216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IFERROR(VLOOKUP(A8,[4]Lubelski!$A$7:$D$100,4,FALSE),0)</f>
        <v>291428</v>
      </c>
      <c r="D8" s="13">
        <f>C8</f>
        <v>291428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IFERROR(VLOOKUP(A9,[4]Lubelski!$A$7:$D$100,4,FALSE),0)</f>
        <v>2166002</v>
      </c>
      <c r="D9" s="13">
        <f>C9+14676</f>
        <v>2180678</v>
      </c>
      <c r="E9" s="38">
        <f t="shared" si="0"/>
        <v>14676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IFERROR(VLOOKUP(A10,[4]Lubelski!$A$7:$D$100,4,FALSE),0)</f>
        <v>177352</v>
      </c>
      <c r="D10" s="13">
        <f t="shared" ref="D10:D34" si="2">C10</f>
        <v>177352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IFERROR(VLOOKUP(A11,[4]Lubelski!$A$7:$D$100,4,FALSE),0)</f>
        <v>159770</v>
      </c>
      <c r="D11" s="13">
        <f t="shared" si="2"/>
        <v>159770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IFERROR(VLOOKUP(A12,[4]Lubelski!$A$7:$D$100,4,FALSE),0)</f>
        <v>93461</v>
      </c>
      <c r="D12" s="13">
        <f t="shared" si="2"/>
        <v>93461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IFERROR(VLOOKUP(A13,[4]Lubelski!$A$7:$D$100,4,FALSE),0)</f>
        <v>40723</v>
      </c>
      <c r="D13" s="13">
        <f t="shared" si="2"/>
        <v>40723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IFERROR(VLOOKUP(A14,[4]Lubelski!$A$7:$D$100,4,FALSE),0)</f>
        <v>163626</v>
      </c>
      <c r="D14" s="13">
        <f t="shared" si="2"/>
        <v>163626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IFERROR(VLOOKUP(A15,[4]Lubelski!$A$7:$D$100,4,FALSE),0)</f>
        <v>125328</v>
      </c>
      <c r="D15" s="13">
        <f t="shared" si="2"/>
        <v>125328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IFERROR(VLOOKUP(A16,[4]Lubelski!$A$7:$D$100,4,FALSE),0)</f>
        <v>78482</v>
      </c>
      <c r="D16" s="13">
        <f t="shared" si="2"/>
        <v>78482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IFERROR(VLOOKUP(A17,[4]Lubelski!$A$7:$D$100,4,FALSE),0)</f>
        <v>28947</v>
      </c>
      <c r="D17" s="13">
        <f t="shared" si="2"/>
        <v>28947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IFERROR(VLOOKUP(A18,[4]Lubelski!$A$7:$D$100,4,FALSE),0)</f>
        <v>127230</v>
      </c>
      <c r="D18" s="13">
        <f t="shared" si="2"/>
        <v>127230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IFERROR(VLOOKUP(A19,[4]Lubelski!$A$7:$D$100,4,FALSE),0)</f>
        <v>42042</v>
      </c>
      <c r="D19" s="13">
        <f t="shared" si="2"/>
        <v>42042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IFERROR(VLOOKUP(A20,[4]Lubelski!$A$7:$D$100,4,FALSE),0)</f>
        <v>3387</v>
      </c>
      <c r="D20" s="13">
        <f t="shared" si="2"/>
        <v>3387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IFERROR(VLOOKUP(A21,[4]Lubelski!$A$7:$D$100,4,FALSE),0)</f>
        <v>10183</v>
      </c>
      <c r="D21" s="13">
        <f t="shared" si="2"/>
        <v>10183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IFERROR(VLOOKUP(A22,[4]Lubelski!$A$7:$D$100,4,FALSE),0)</f>
        <v>136438</v>
      </c>
      <c r="D22" s="13">
        <f t="shared" si="2"/>
        <v>136438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IFERROR(VLOOKUP(A23,[4]Lubelski!$A$7:$D$100,4,FALSE),0)</f>
        <v>54913</v>
      </c>
      <c r="D23" s="13">
        <f t="shared" si="2"/>
        <v>54913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IFERROR(VLOOKUP(A24,[4]Lubelski!$A$7:$D$100,4,FALSE),0)</f>
        <v>462588</v>
      </c>
      <c r="D24" s="31">
        <f>SUM(D25:D27)</f>
        <v>462588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IFERROR(VLOOKUP(A25,[4]Lubelski!$A$7:$D$100,4,FALSE),0)</f>
        <v>460088</v>
      </c>
      <c r="D25" s="13">
        <f t="shared" si="2"/>
        <v>460088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IFERROR(VLOOKUP(A26,[4]Lubelski!$A$7:$D$100,4,FALSE),0)</f>
        <v>2000</v>
      </c>
      <c r="D26" s="13">
        <f t="shared" si="2"/>
        <v>2000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IFERROR(VLOOKUP(A27,[4]Lubelski!$A$7:$D$100,4,FALSE),0)</f>
        <v>500</v>
      </c>
      <c r="D27" s="13">
        <f t="shared" si="2"/>
        <v>500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IFERROR(VLOOKUP(A28,[4]Lubelski!$A$7:$D$100,4,FALSE),0)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IFERROR(VLOOKUP(A29,[4]Lubelski!$A$7:$D$100,4,FALSE),0)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IFERROR(VLOOKUP(A30,[4]Lubelski!$A$7:$D$100,4,FALSE),0)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IFERROR(VLOOKUP(A31,[4]Lubelski!$A$7:$D$100,4,FALSE),0)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IFERROR(VLOOKUP(A32,[4]Lubelski!$A$7:$D$100,4,FALSE),0)</f>
        <v>15510</v>
      </c>
      <c r="D32" s="13">
        <f t="shared" si="2"/>
        <v>15510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IFERROR(VLOOKUP(A33,[4]Lubelski!$A$7:$D$100,4,FALSE),0)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IFERROR(VLOOKUP(A34,[4]Lubelski!$A$7:$D$100,4,FALSE),0)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IFERROR(VLOOKUP(A35,[4]Lubelski!$A$7:$D$100,4,FALSE),0)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IFERROR(VLOOKUP(A36,[4]Lubelski!$A$7:$D$100,4,FALSE),0)</f>
        <v>118011</v>
      </c>
      <c r="D36" s="37">
        <f>C36</f>
        <v>118011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IFERROR(VLOOKUP(A37,[4]Lubelski!$A$7:$D$100,4,FALSE),0)</f>
        <v>29357</v>
      </c>
      <c r="D37" s="37">
        <f>C37</f>
        <v>29357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663081</v>
      </c>
      <c r="D38" s="32">
        <f>D11+D13+D24+D30</f>
        <v>663081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25683</v>
      </c>
      <c r="D39" s="87">
        <f>D40+D41+D42+D50+D52+D58+D59+D57</f>
        <v>25683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IFERROR(VLOOKUP(A40,[4]Lubelski!$A$7:$D$100,4,FALSE),0)</f>
        <v>903</v>
      </c>
      <c r="D40" s="33">
        <f>C40</f>
        <v>903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IFERROR(VLOOKUP(A41,[4]Lubelski!$A$7:$D$100,4,FALSE),0)</f>
        <v>2803</v>
      </c>
      <c r="D41" s="33">
        <f t="shared" ref="D41:D59" si="3">C41</f>
        <v>2803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265</v>
      </c>
      <c r="D42" s="33">
        <f>D43+D45+D46+D47+D48+D49</f>
        <v>265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IFERROR(VLOOKUP(A43,[4]Lubelski!$A$7:$D$100,4,FALSE),0)</f>
        <v>31</v>
      </c>
      <c r="D43" s="33">
        <f t="shared" si="3"/>
        <v>31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IFERROR(VLOOKUP(A44,[4]Lubelski!$A$7:$D$100,4,FALSE),0)</f>
        <v>31</v>
      </c>
      <c r="D44" s="33">
        <f t="shared" si="3"/>
        <v>31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IFERROR(VLOOKUP(A45,[4]Lubelski!$A$7:$D$100,4,FALSE),0)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IFERROR(VLOOKUP(A46,[4]Lubelski!$A$7:$D$100,4,FALSE),0)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IFERROR(VLOOKUP(A47,[4]Lubelski!$A$7:$D$100,4,FALSE),0)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IFERROR(VLOOKUP(A48,[4]Lubelski!$A$7:$D$100,4,FALSE),0)</f>
        <v>220</v>
      </c>
      <c r="D48" s="33">
        <f t="shared" si="3"/>
        <v>220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IFERROR(VLOOKUP(A49,[4]Lubelski!$A$7:$D$100,4,FALSE),0)</f>
        <v>14</v>
      </c>
      <c r="D49" s="33">
        <f t="shared" si="3"/>
        <v>14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IFERROR(VLOOKUP(A50,[4]Lubelski!$A$7:$D$100,4,FALSE),0)</f>
        <v>16033</v>
      </c>
      <c r="D50" s="33">
        <f t="shared" si="3"/>
        <v>16033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IFERROR(VLOOKUP(A51,[4]Lubelski!$A$7:$D$100,4,FALSE),0)</f>
        <v>144</v>
      </c>
      <c r="D51" s="33">
        <f t="shared" si="3"/>
        <v>144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3604</v>
      </c>
      <c r="D52" s="29">
        <f>D53+D54+D55+D56</f>
        <v>3604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IFERROR(VLOOKUP(A53,[4]Lubelski!$A$7:$D$100,4,FALSE),0)</f>
        <v>2753</v>
      </c>
      <c r="D53" s="33">
        <f t="shared" si="3"/>
        <v>2753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IFERROR(VLOOKUP(A54,[4]Lubelski!$A$7:$D$100,4,FALSE),0)</f>
        <v>393</v>
      </c>
      <c r="D54" s="33">
        <f t="shared" si="3"/>
        <v>393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IFERROR(VLOOKUP(A55,[4]Lubelski!$A$7:$D$100,4,FALSE),0)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IFERROR(VLOOKUP(A56,[4]Lubelski!$A$7:$D$100,4,FALSE),0)</f>
        <v>458</v>
      </c>
      <c r="D56" s="33">
        <f t="shared" si="3"/>
        <v>458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IFERROR(VLOOKUP(A57,[4]Lubelski!$A$7:$D$100,4,FALSE),0)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IFERROR(VLOOKUP(A58,[4]Lubelski!$A$7:$D$100,4,FALSE),0)</f>
        <v>1730</v>
      </c>
      <c r="D58" s="33">
        <f t="shared" si="3"/>
        <v>1730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IFERROR(VLOOKUP(A59,[4]Lubelski!$A$7:$D$100,4,FALSE),0)</f>
        <v>345</v>
      </c>
      <c r="D59" s="33">
        <f t="shared" si="3"/>
        <v>345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41705</v>
      </c>
      <c r="D60" s="107">
        <f>D61+D62+D63+D64</f>
        <v>46505</v>
      </c>
      <c r="E60" s="83">
        <f t="shared" si="0"/>
        <v>4800</v>
      </c>
      <c r="F60" s="108">
        <f t="shared" si="1"/>
        <v>1.1151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IFERROR(VLOOKUP(A61,[4]Lubelski!$A$7:$D$100,4,FALSE),0)</f>
        <v>5</v>
      </c>
      <c r="D61" s="33">
        <f>C61-5</f>
        <v>0</v>
      </c>
      <c r="E61" s="29">
        <f t="shared" si="0"/>
        <v>-5</v>
      </c>
      <c r="F61" s="39">
        <f t="shared" si="1"/>
        <v>0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IFERROR(VLOOKUP(A62,[4]Lubelski!$A$7:$D$100,4,FALSE),0)</f>
        <v>40500</v>
      </c>
      <c r="D62" s="33">
        <f>C62+5500</f>
        <v>46000</v>
      </c>
      <c r="E62" s="29">
        <f t="shared" si="0"/>
        <v>5500</v>
      </c>
      <c r="F62" s="39">
        <f t="shared" si="1"/>
        <v>1.1357999999999999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IFERROR(VLOOKUP(A63,[4]Lubelski!$A$7:$D$100,4,FALSE),0)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IFERROR(VLOOKUP(A64,[4]Lubelski!$A$7:$D$100,4,FALSE),0)</f>
        <v>1200</v>
      </c>
      <c r="D64" s="33">
        <f>C64-695</f>
        <v>505</v>
      </c>
      <c r="E64" s="29">
        <f t="shared" si="0"/>
        <v>-695</v>
      </c>
      <c r="F64" s="39">
        <f t="shared" si="1"/>
        <v>0.42080000000000001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IFERROR(VLOOKUP(A65,[4]Lubelski!$A$7:$D$100,4,FALSE),0)</f>
        <v>5000</v>
      </c>
      <c r="D65" s="107">
        <f>C65-4800</f>
        <v>200</v>
      </c>
      <c r="E65" s="83">
        <f t="shared" si="0"/>
        <v>-4800</v>
      </c>
      <c r="F65" s="108">
        <f t="shared" si="1"/>
        <v>0.04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H8" sqref="H8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1941057</v>
      </c>
      <c r="D6" s="102">
        <f>D7+D8+D9+D14+D15+D16+D17+D18+D19+D20+D21+D22+D23+D24+D28+D29+D31+D32+D33+D34</f>
        <v>1947730</v>
      </c>
      <c r="E6" s="83">
        <f>IF(C6=D6,"-",D6-C6)</f>
        <v>6673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IFERROR(VLOOKUP(A7,[4]Lubuski!$A$7:$D$100,4,FALSE),0)</f>
        <v>265273</v>
      </c>
      <c r="D7" s="13">
        <f>C7</f>
        <v>265273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IFERROR(VLOOKUP(A8,[4]Lubuski!$A$7:$D$100,4,FALSE),0)</f>
        <v>150351</v>
      </c>
      <c r="D8" s="13">
        <f>C8</f>
        <v>150351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IFERROR(VLOOKUP(A9,[4]Lubuski!$A$7:$D$100,4,FALSE),0)</f>
        <v>965541</v>
      </c>
      <c r="D9" s="13">
        <f>C9+6673</f>
        <v>972214</v>
      </c>
      <c r="E9" s="38">
        <f t="shared" si="0"/>
        <v>6673</v>
      </c>
      <c r="F9" s="39">
        <f t="shared" si="1"/>
        <v>1.0068999999999999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IFERROR(VLOOKUP(A10,[4]Lubuski!$A$7:$D$100,4,FALSE),0)</f>
        <v>86838</v>
      </c>
      <c r="D10" s="13">
        <f t="shared" ref="D10:D34" si="2">C10</f>
        <v>86838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IFERROR(VLOOKUP(A11,[4]Lubuski!$A$7:$D$100,4,FALSE),0)</f>
        <v>80231</v>
      </c>
      <c r="D11" s="13">
        <f t="shared" si="2"/>
        <v>80231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IFERROR(VLOOKUP(A12,[4]Lubuski!$A$7:$D$100,4,FALSE),0)</f>
        <v>37566</v>
      </c>
      <c r="D12" s="13">
        <f t="shared" si="2"/>
        <v>37566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IFERROR(VLOOKUP(A13,[4]Lubuski!$A$7:$D$100,4,FALSE),0)</f>
        <v>15501</v>
      </c>
      <c r="D13" s="13">
        <f t="shared" si="2"/>
        <v>15501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IFERROR(VLOOKUP(A14,[4]Lubuski!$A$7:$D$100,4,FALSE),0)</f>
        <v>100600</v>
      </c>
      <c r="D14" s="13">
        <f t="shared" si="2"/>
        <v>100600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IFERROR(VLOOKUP(A15,[4]Lubuski!$A$7:$D$100,4,FALSE),0)</f>
        <v>55567</v>
      </c>
      <c r="D15" s="13">
        <f t="shared" si="2"/>
        <v>55567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IFERROR(VLOOKUP(A16,[4]Lubuski!$A$7:$D$100,4,FALSE),0)</f>
        <v>29314</v>
      </c>
      <c r="D16" s="13">
        <f t="shared" si="2"/>
        <v>29314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IFERROR(VLOOKUP(A17,[4]Lubuski!$A$7:$D$100,4,FALSE),0)</f>
        <v>16918</v>
      </c>
      <c r="D17" s="13">
        <f t="shared" si="2"/>
        <v>16918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IFERROR(VLOOKUP(A18,[4]Lubuski!$A$7:$D$100,4,FALSE),0)</f>
        <v>40702</v>
      </c>
      <c r="D18" s="13">
        <f t="shared" si="2"/>
        <v>40702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IFERROR(VLOOKUP(A19,[4]Lubuski!$A$7:$D$100,4,FALSE),0)</f>
        <v>14300</v>
      </c>
      <c r="D19" s="13">
        <f t="shared" si="2"/>
        <v>14300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IFERROR(VLOOKUP(A20,[4]Lubuski!$A$7:$D$100,4,FALSE),0)</f>
        <v>1655</v>
      </c>
      <c r="D20" s="13">
        <f t="shared" si="2"/>
        <v>1655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IFERROR(VLOOKUP(A21,[4]Lubuski!$A$7:$D$100,4,FALSE),0)</f>
        <v>5429</v>
      </c>
      <c r="D21" s="13">
        <f t="shared" si="2"/>
        <v>5429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IFERROR(VLOOKUP(A22,[4]Lubuski!$A$7:$D$100,4,FALSE),0)</f>
        <v>55869</v>
      </c>
      <c r="D22" s="13">
        <f t="shared" si="2"/>
        <v>55869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IFERROR(VLOOKUP(A23,[4]Lubuski!$A$7:$D$100,4,FALSE),0)</f>
        <v>27300</v>
      </c>
      <c r="D23" s="13">
        <f t="shared" si="2"/>
        <v>27300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IFERROR(VLOOKUP(A24,[4]Lubuski!$A$7:$D$100,4,FALSE),0)</f>
        <v>201000</v>
      </c>
      <c r="D24" s="31">
        <f>SUM(D25:D27)</f>
        <v>201000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IFERROR(VLOOKUP(A25,[4]Lubuski!$A$7:$D$100,4,FALSE),0)</f>
        <v>200500</v>
      </c>
      <c r="D25" s="13">
        <f t="shared" si="2"/>
        <v>200500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IFERROR(VLOOKUP(A26,[4]Lubuski!$A$7:$D$100,4,FALSE),0)</f>
        <v>300</v>
      </c>
      <c r="D26" s="13">
        <f t="shared" si="2"/>
        <v>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IFERROR(VLOOKUP(A27,[4]Lubuski!$A$7:$D$100,4,FALSE),0)</f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IFERROR(VLOOKUP(A28,[4]Lubuski!$A$7:$D$100,4,FALSE),0)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IFERROR(VLOOKUP(A29,[4]Lubuski!$A$7:$D$100,4,FALSE),0)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IFERROR(VLOOKUP(A30,[4]Lubuski!$A$7:$D$100,4,FALSE),0)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IFERROR(VLOOKUP(A31,[4]Lubuski!$A$7:$D$100,4,FALSE),0)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IFERROR(VLOOKUP(A32,[4]Lubuski!$A$7:$D$100,4,FALSE),0)</f>
        <v>10238</v>
      </c>
      <c r="D32" s="13">
        <f t="shared" si="2"/>
        <v>10238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IFERROR(VLOOKUP(A33,[4]Lubuski!$A$7:$D$100,4,FALSE),0)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IFERROR(VLOOKUP(A34,[4]Lubuski!$A$7:$D$100,4,FALSE),0)</f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IFERROR(VLOOKUP(A35,[4]Lubuski!$A$7:$D$100,4,FALSE),0)</f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IFERROR(VLOOKUP(A36,[4]Lubuski!$A$7:$D$100,4,FALSE),0)</f>
        <v>66857</v>
      </c>
      <c r="D36" s="37">
        <f>C36</f>
        <v>66857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IFERROR(VLOOKUP(A37,[4]Lubuski!$A$7:$D$100,4,FALSE),0)</f>
        <v>13137</v>
      </c>
      <c r="D37" s="37">
        <f>C37</f>
        <v>13137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296732</v>
      </c>
      <c r="D38" s="32">
        <f>D11+D13+D24+D30</f>
        <v>296732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17516</v>
      </c>
      <c r="D39" s="87">
        <f>D40+D41+D42+D50+D52+D58+D59+D57</f>
        <v>17516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IFERROR(VLOOKUP(A40,[4]Lubuski!$A$7:$D$100,4,FALSE),0)</f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IFERROR(VLOOKUP(A41,[4]Lubuski!$A$7:$D$100,4,FALSE),0)</f>
        <v>2103</v>
      </c>
      <c r="D41" s="33">
        <f t="shared" ref="D41:D59" si="3">C41</f>
        <v>2103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78</v>
      </c>
      <c r="D42" s="33">
        <f>D43+D45+D46+D47+D48+D49</f>
        <v>78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IFERROR(VLOOKUP(A43,[4]Lubuski!$A$7:$D$100,4,FALSE),0)</f>
        <v>15</v>
      </c>
      <c r="D43" s="33">
        <f t="shared" si="3"/>
        <v>15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IFERROR(VLOOKUP(A44,[4]Lubuski!$A$7:$D$100,4,FALSE),0)</f>
        <v>15</v>
      </c>
      <c r="D44" s="33">
        <f t="shared" si="3"/>
        <v>15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IFERROR(VLOOKUP(A45,[4]Lubuski!$A$7:$D$100,4,FALSE),0)</f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IFERROR(VLOOKUP(A46,[4]Lubuski!$A$7:$D$100,4,FALSE),0)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IFERROR(VLOOKUP(A47,[4]Lubuski!$A$7:$D$100,4,FALSE),0)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IFERROR(VLOOKUP(A48,[4]Lubuski!$A$7:$D$100,4,FALSE),0)</f>
        <v>40</v>
      </c>
      <c r="D48" s="33">
        <f t="shared" si="3"/>
        <v>40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IFERROR(VLOOKUP(A49,[4]Lubuski!$A$7:$D$100,4,FALSE),0)</f>
        <v>23</v>
      </c>
      <c r="D49" s="33">
        <f t="shared" si="3"/>
        <v>23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IFERROR(VLOOKUP(A50,[4]Lubuski!$A$7:$D$100,4,FALSE),0)</f>
        <v>9106</v>
      </c>
      <c r="D50" s="33">
        <f t="shared" si="3"/>
        <v>9106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IFERROR(VLOOKUP(A51,[4]Lubuski!$A$7:$D$100,4,FALSE),0)</f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2112</v>
      </c>
      <c r="D52" s="29">
        <f>D53+D54+D55+D56</f>
        <v>2112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IFERROR(VLOOKUP(A53,[4]Lubuski!$A$7:$D$100,4,FALSE),0)</f>
        <v>1562</v>
      </c>
      <c r="D53" s="33">
        <f t="shared" si="3"/>
        <v>1562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IFERROR(VLOOKUP(A54,[4]Lubuski!$A$7:$D$100,4,FALSE),0)</f>
        <v>222</v>
      </c>
      <c r="D54" s="33">
        <f t="shared" si="3"/>
        <v>222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IFERROR(VLOOKUP(A55,[4]Lubuski!$A$7:$D$100,4,FALSE),0)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IFERROR(VLOOKUP(A56,[4]Lubuski!$A$7:$D$100,4,FALSE),0)</f>
        <v>328</v>
      </c>
      <c r="D56" s="33">
        <f t="shared" si="3"/>
        <v>328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IFERROR(VLOOKUP(A57,[4]Lubuski!$A$7:$D$100,4,FALSE),0)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IFERROR(VLOOKUP(A58,[4]Lubuski!$A$7:$D$100,4,FALSE),0)</f>
        <v>3000</v>
      </c>
      <c r="D58" s="33">
        <f t="shared" si="3"/>
        <v>3000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IFERROR(VLOOKUP(A59,[4]Lubuski!$A$7:$D$100,4,FALSE),0)</f>
        <v>307</v>
      </c>
      <c r="D59" s="33">
        <f t="shared" si="3"/>
        <v>307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4590</v>
      </c>
      <c r="D60" s="107">
        <f>D61+D62+D63+D64</f>
        <v>2865</v>
      </c>
      <c r="E60" s="83">
        <f t="shared" si="0"/>
        <v>-1725</v>
      </c>
      <c r="F60" s="108">
        <f t="shared" si="1"/>
        <v>0.62419999999999998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IFERROR(VLOOKUP(A61,[4]Lubuski!$A$7:$D$100,4,FALSE),0)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IFERROR(VLOOKUP(A62,[4]Lubuski!$A$7:$D$100,4,FALSE),0)</f>
        <v>3730</v>
      </c>
      <c r="D62" s="33">
        <f>C62-1815</f>
        <v>1915</v>
      </c>
      <c r="E62" s="29">
        <f t="shared" si="0"/>
        <v>-1815</v>
      </c>
      <c r="F62" s="39">
        <f t="shared" si="1"/>
        <v>0.51339999999999997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IFERROR(VLOOKUP(A63,[4]Lubuski!$A$7:$D$100,4,FALSE),0)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IFERROR(VLOOKUP(A64,[4]Lubuski!$A$7:$D$100,4,FALSE),0)</f>
        <v>860</v>
      </c>
      <c r="D64" s="33">
        <f>C64+90</f>
        <v>950</v>
      </c>
      <c r="E64" s="29">
        <f t="shared" si="0"/>
        <v>90</v>
      </c>
      <c r="F64" s="39">
        <f t="shared" si="1"/>
        <v>1.1047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IFERROR(VLOOKUP(A65,[4]Lubuski!$A$7:$D$100,4,FALSE),0)</f>
        <v>750</v>
      </c>
      <c r="D65" s="107">
        <f>C65+2650</f>
        <v>3400</v>
      </c>
      <c r="E65" s="83">
        <f t="shared" si="0"/>
        <v>2650</v>
      </c>
      <c r="F65" s="108">
        <f t="shared" si="1"/>
        <v>4.5332999999999997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D6" sqref="D6:D93"/>
      <selection pane="topRight" activeCell="D6" sqref="D6:D93"/>
      <selection pane="bottomLeft" activeCell="D6" sqref="D6:D93"/>
      <selection pane="bottomRight" activeCell="D6" sqref="D6:D93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5167277</v>
      </c>
      <c r="D6" s="102">
        <f>D7+D8+D9+D14+D15+D16+D17+D18+D19+D20+D21+D22+D23+D24+D28+D29+D31+D32+D33+D34</f>
        <v>5185015</v>
      </c>
      <c r="E6" s="83">
        <f>IF(C6=D6,"-",D6-C6)</f>
        <v>17738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IFERROR(VLOOKUP(A7,[4]Łódzki!$A$7:$D$100,4,FALSE),0)</f>
        <v>675550</v>
      </c>
      <c r="D7" s="13">
        <f>C7</f>
        <v>675550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IFERROR(VLOOKUP(A8,[4]Łódzki!$A$7:$D$100,4,FALSE),0)</f>
        <v>365779</v>
      </c>
      <c r="D8" s="13">
        <f>C8</f>
        <v>365779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IFERROR(VLOOKUP(A9,[4]Łódzki!$A$7:$D$100,4,FALSE),0)</f>
        <v>2674060</v>
      </c>
      <c r="D9" s="13">
        <f>C9+17738</f>
        <v>2691798</v>
      </c>
      <c r="E9" s="38">
        <f t="shared" si="0"/>
        <v>17738</v>
      </c>
      <c r="F9" s="39">
        <f t="shared" si="1"/>
        <v>1.0065999999999999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IFERROR(VLOOKUP(A10,[4]Łódzki!$A$7:$D$100,4,FALSE),0)</f>
        <v>246896</v>
      </c>
      <c r="D10" s="13">
        <f t="shared" ref="D10:D34" si="2">C10</f>
        <v>246896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IFERROR(VLOOKUP(A11,[4]Łódzki!$A$7:$D$100,4,FALSE),0)</f>
        <v>222164</v>
      </c>
      <c r="D11" s="13">
        <f t="shared" si="2"/>
        <v>222164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IFERROR(VLOOKUP(A12,[4]Łódzki!$A$7:$D$100,4,FALSE),0)</f>
        <v>88342</v>
      </c>
      <c r="D12" s="13">
        <f t="shared" si="2"/>
        <v>88342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IFERROR(VLOOKUP(A13,[4]Łódzki!$A$7:$D$100,4,FALSE),0)</f>
        <v>35975</v>
      </c>
      <c r="D13" s="13">
        <f t="shared" si="2"/>
        <v>35975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IFERROR(VLOOKUP(A14,[4]Łódzki!$A$7:$D$100,4,FALSE),0)</f>
        <v>181647</v>
      </c>
      <c r="D14" s="13">
        <f t="shared" si="2"/>
        <v>181647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IFERROR(VLOOKUP(A15,[4]Łódzki!$A$7:$D$100,4,FALSE),0)</f>
        <v>137218</v>
      </c>
      <c r="D15" s="13">
        <f t="shared" si="2"/>
        <v>137218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IFERROR(VLOOKUP(A16,[4]Łódzki!$A$7:$D$100,4,FALSE),0)</f>
        <v>67429</v>
      </c>
      <c r="D16" s="13">
        <f t="shared" si="2"/>
        <v>67429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IFERROR(VLOOKUP(A17,[4]Łódzki!$A$7:$D$100,4,FALSE),0)</f>
        <v>35674</v>
      </c>
      <c r="D17" s="13">
        <f t="shared" si="2"/>
        <v>35674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IFERROR(VLOOKUP(A18,[4]Łódzki!$A$7:$D$100,4,FALSE),0)</f>
        <v>121656</v>
      </c>
      <c r="D18" s="13">
        <f t="shared" si="2"/>
        <v>121656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IFERROR(VLOOKUP(A19,[4]Łódzki!$A$7:$D$100,4,FALSE),0)</f>
        <v>43500</v>
      </c>
      <c r="D19" s="13">
        <f t="shared" si="2"/>
        <v>43500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IFERROR(VLOOKUP(A20,[4]Łódzki!$A$7:$D$100,4,FALSE),0)</f>
        <v>3079</v>
      </c>
      <c r="D20" s="13">
        <f t="shared" si="2"/>
        <v>3079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IFERROR(VLOOKUP(A21,[4]Łódzki!$A$7:$D$100,4,FALSE),0)</f>
        <v>11626</v>
      </c>
      <c r="D21" s="13">
        <f t="shared" si="2"/>
        <v>11626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IFERROR(VLOOKUP(A22,[4]Łódzki!$A$7:$D$100,4,FALSE),0)</f>
        <v>153997</v>
      </c>
      <c r="D22" s="13">
        <f t="shared" si="2"/>
        <v>153997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IFERROR(VLOOKUP(A23,[4]Łódzki!$A$7:$D$100,4,FALSE),0)</f>
        <v>67421</v>
      </c>
      <c r="D23" s="13">
        <f t="shared" si="2"/>
        <v>67421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IFERROR(VLOOKUP(A24,[4]Łódzki!$A$7:$D$100,4,FALSE),0)</f>
        <v>613783</v>
      </c>
      <c r="D24" s="31">
        <f>SUM(D25:D27)</f>
        <v>613783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IFERROR(VLOOKUP(A25,[4]Łódzki!$A$7:$D$100,4,FALSE),0)</f>
        <v>612070</v>
      </c>
      <c r="D25" s="13">
        <f t="shared" si="2"/>
        <v>612070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IFERROR(VLOOKUP(A26,[4]Łódzki!$A$7:$D$100,4,FALSE),0)</f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IFERROR(VLOOKUP(A27,[4]Łódzki!$A$7:$D$100,4,FALSE),0)</f>
        <v>824</v>
      </c>
      <c r="D27" s="13">
        <f t="shared" si="2"/>
        <v>824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IFERROR(VLOOKUP(A28,[4]Łódzki!$A$7:$D$100,4,FALSE),0)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IFERROR(VLOOKUP(A29,[4]Łódzki!$A$7:$D$100,4,FALSE),0)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IFERROR(VLOOKUP(A30,[4]Łódzki!$A$7:$D$100,4,FALSE),0)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IFERROR(VLOOKUP(A31,[4]Łódzki!$A$7:$D$100,4,FALSE),0)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IFERROR(VLOOKUP(A32,[4]Łódzki!$A$7:$D$100,4,FALSE),0)</f>
        <v>14858</v>
      </c>
      <c r="D32" s="13">
        <f t="shared" si="2"/>
        <v>14858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IFERROR(VLOOKUP(A33,[4]Łódzki!$A$7:$D$100,4,FALSE),0)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IFERROR(VLOOKUP(A34,[4]Łódzki!$A$7:$D$100,4,FALSE),0)</f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IFERROR(VLOOKUP(A35,[4]Łódzki!$A$7:$D$100,4,FALSE),0)</f>
        <v>159</v>
      </c>
      <c r="D35" s="37">
        <f>C35</f>
        <v>159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IFERROR(VLOOKUP(A36,[4]Łódzki!$A$7:$D$100,4,FALSE),0)</f>
        <v>125805</v>
      </c>
      <c r="D36" s="37">
        <f>C36</f>
        <v>125805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IFERROR(VLOOKUP(A37,[4]Łódzki!$A$7:$D$100,4,FALSE),0)</f>
        <v>41435</v>
      </c>
      <c r="D37" s="37">
        <f>C37</f>
        <v>41435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871922</v>
      </c>
      <c r="D38" s="32">
        <f>D11+D13+D24+D30</f>
        <v>871922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31624</v>
      </c>
      <c r="D39" s="87">
        <f>D40+D41+D42+D50+D52+D58+D59+D57</f>
        <v>31624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IFERROR(VLOOKUP(A40,[4]Łódzki!$A$7:$D$100,4,FALSE),0)</f>
        <v>1256</v>
      </c>
      <c r="D40" s="33">
        <f>C40</f>
        <v>1256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IFERROR(VLOOKUP(A41,[4]Łódzki!$A$7:$D$100,4,FALSE),0)</f>
        <v>5267</v>
      </c>
      <c r="D41" s="33">
        <f t="shared" ref="D41:D59" si="3">C41</f>
        <v>5267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254</v>
      </c>
      <c r="D42" s="33">
        <f>D43+D45+D46+D47+D48+D49</f>
        <v>254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IFERROR(VLOOKUP(A43,[4]Łódzki!$A$7:$D$100,4,FALSE),0)</f>
        <v>11</v>
      </c>
      <c r="D43" s="33">
        <f t="shared" si="3"/>
        <v>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IFERROR(VLOOKUP(A44,[4]Łódzki!$A$7:$D$100,4,FALSE),0)</f>
        <v>11</v>
      </c>
      <c r="D44" s="33">
        <f t="shared" si="3"/>
        <v>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IFERROR(VLOOKUP(A45,[4]Łódzki!$A$7:$D$100,4,FALSE),0)</f>
        <v>18</v>
      </c>
      <c r="D45" s="33">
        <f t="shared" si="3"/>
        <v>18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IFERROR(VLOOKUP(A46,[4]Łódzki!$A$7:$D$100,4,FALSE),0)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IFERROR(VLOOKUP(A47,[4]Łódzki!$A$7:$D$100,4,FALSE),0)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IFERROR(VLOOKUP(A48,[4]Łódzki!$A$7:$D$100,4,FALSE),0)</f>
        <v>221</v>
      </c>
      <c r="D48" s="33">
        <f t="shared" si="3"/>
        <v>221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IFERROR(VLOOKUP(A49,[4]Łódzki!$A$7:$D$100,4,FALSE),0)</f>
        <v>4</v>
      </c>
      <c r="D49" s="33">
        <f t="shared" si="3"/>
        <v>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IFERROR(VLOOKUP(A50,[4]Łódzki!$A$7:$D$100,4,FALSE),0)</f>
        <v>18720</v>
      </c>
      <c r="D50" s="33">
        <f t="shared" si="3"/>
        <v>18720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IFERROR(VLOOKUP(A51,[4]Łódzki!$A$7:$D$100,4,FALSE),0)</f>
        <v>90</v>
      </c>
      <c r="D51" s="33">
        <f t="shared" si="3"/>
        <v>90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4207</v>
      </c>
      <c r="D52" s="29">
        <f>D53+D54+D55+D56</f>
        <v>4207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IFERROR(VLOOKUP(A53,[4]Łódzki!$A$7:$D$100,4,FALSE),0)</f>
        <v>3213</v>
      </c>
      <c r="D53" s="33">
        <f t="shared" si="3"/>
        <v>3213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IFERROR(VLOOKUP(A54,[4]Łódzki!$A$7:$D$100,4,FALSE),0)</f>
        <v>459</v>
      </c>
      <c r="D54" s="33">
        <f t="shared" si="3"/>
        <v>459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IFERROR(VLOOKUP(A55,[4]Łódzki!$A$7:$D$100,4,FALSE),0)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IFERROR(VLOOKUP(A56,[4]Łódzki!$A$7:$D$100,4,FALSE),0)</f>
        <v>535</v>
      </c>
      <c r="D56" s="33">
        <f t="shared" si="3"/>
        <v>535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IFERROR(VLOOKUP(A57,[4]Łódzki!$A$7:$D$100,4,FALSE),0)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IFERROR(VLOOKUP(A58,[4]Łódzki!$A$7:$D$100,4,FALSE),0)</f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IFERROR(VLOOKUP(A59,[4]Łódzki!$A$7:$D$100,4,FALSE),0)</f>
        <v>290</v>
      </c>
      <c r="D59" s="33">
        <f t="shared" si="3"/>
        <v>290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17000</v>
      </c>
      <c r="D60" s="107">
        <f>D61+D62+D63+D64</f>
        <v>14510</v>
      </c>
      <c r="E60" s="83">
        <f t="shared" si="0"/>
        <v>-2490</v>
      </c>
      <c r="F60" s="108">
        <f t="shared" si="1"/>
        <v>0.85350000000000004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IFERROR(VLOOKUP(A61,[4]Łódzki!$A$7:$D$100,4,FALSE),0)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IFERROR(VLOOKUP(A62,[4]Łódzki!$A$7:$D$100,4,FALSE),0)</f>
        <v>15000</v>
      </c>
      <c r="D62" s="33">
        <f>C62-1100</f>
        <v>13900</v>
      </c>
      <c r="E62" s="29">
        <f t="shared" si="0"/>
        <v>-1100</v>
      </c>
      <c r="F62" s="39">
        <f t="shared" si="1"/>
        <v>0.92669999999999997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IFERROR(VLOOKUP(A63,[4]Łódzki!$A$7:$D$100,4,FALSE),0)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IFERROR(VLOOKUP(A64,[4]Łódzki!$A$7:$D$100,4,FALSE),0)</f>
        <v>2000</v>
      </c>
      <c r="D64" s="33">
        <f>C64-1390</f>
        <v>610</v>
      </c>
      <c r="E64" s="29">
        <f t="shared" si="0"/>
        <v>-1390</v>
      </c>
      <c r="F64" s="39">
        <f t="shared" si="1"/>
        <v>0.30499999999999999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IFERROR(VLOOKUP(A65,[4]Łódzki!$A$7:$D$100,4,FALSE),0)</f>
        <v>5000</v>
      </c>
      <c r="D65" s="107">
        <f>C65-1520</f>
        <v>3480</v>
      </c>
      <c r="E65" s="83">
        <f t="shared" si="0"/>
        <v>-1520</v>
      </c>
      <c r="F65" s="108">
        <f t="shared" si="1"/>
        <v>0.69599999999999995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5"/>
  <sheetViews>
    <sheetView showGridLines="0" view="pageBreakPreview" zoomScale="55" zoomScaleNormal="70" zoomScaleSheetLayoutView="55" workbookViewId="0">
      <pane xSplit="1" ySplit="6" topLeftCell="B7" activePane="bottomRight" state="frozen"/>
      <selection activeCell="D6" sqref="D6:D93"/>
      <selection pane="topRight" activeCell="D6" sqref="D6:D93"/>
      <selection pane="bottomLeft" activeCell="D6" sqref="D6:D93"/>
      <selection pane="bottomRight" activeCell="J24" sqref="J24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1" t="str">
        <f>NFZ!A1</f>
        <v>ZMIANA PLANU FINANSOWEGO NARODOWEGO FUNDUSZU ZDROWIA NA 2017 ROK Z DNIA 8 GRUDNIA 2017 R.</v>
      </c>
      <c r="B1" s="111"/>
      <c r="C1" s="111"/>
      <c r="D1" s="111"/>
      <c r="E1" s="111"/>
      <c r="F1" s="111"/>
    </row>
    <row r="2" spans="1:6" s="22" customFormat="1" ht="33" customHeight="1" x14ac:dyDescent="0.2">
      <c r="A2" s="67" t="s">
        <v>65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188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189</v>
      </c>
      <c r="C6" s="102">
        <f>C7+C8+C9+C14+C15+C16+C17+C18+C19+C20+C21+C22+C23+C24+C28+C29+C31+C32+C33+C34</f>
        <v>6555781</v>
      </c>
      <c r="D6" s="102">
        <f>D7+D8+D9+D14+D15+D16+D17+D18+D19+D20+D21+D22+D23+D24+D28+D29+D31+D32+D33+D34</f>
        <v>6578221</v>
      </c>
      <c r="E6" s="83">
        <f>IF(C6=D6,"-",D6-C6)</f>
        <v>22440</v>
      </c>
      <c r="F6" s="103">
        <f>IF(C6=0,"-",D6/C6)</f>
        <v>1.0029999999999999</v>
      </c>
    </row>
    <row r="7" spans="1:6" ht="33" customHeight="1" x14ac:dyDescent="0.2">
      <c r="A7" s="48" t="s">
        <v>1</v>
      </c>
      <c r="B7" s="14" t="s">
        <v>117</v>
      </c>
      <c r="C7" s="31">
        <f>IFERROR(VLOOKUP(A7,[4]Małopolski!$A$7:$D$100,4,FALSE),0)</f>
        <v>883000</v>
      </c>
      <c r="D7" s="13">
        <f>C7</f>
        <v>883000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f>IFERROR(VLOOKUP(A8,[4]Małopolski!$A$7:$D$100,4,FALSE),0)</f>
        <v>494713</v>
      </c>
      <c r="D8" s="13">
        <f>C8</f>
        <v>494713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f>IFERROR(VLOOKUP(A9,[4]Małopolski!$A$7:$D$100,4,FALSE),0)</f>
        <v>3302116</v>
      </c>
      <c r="D9" s="13">
        <f>C9+22440</f>
        <v>3324556</v>
      </c>
      <c r="E9" s="38">
        <f t="shared" si="0"/>
        <v>22440</v>
      </c>
      <c r="F9" s="39">
        <f t="shared" si="1"/>
        <v>1.0067999999999999</v>
      </c>
    </row>
    <row r="10" spans="1:6" ht="31.5" customHeight="1" x14ac:dyDescent="0.2">
      <c r="A10" s="49" t="s">
        <v>55</v>
      </c>
      <c r="B10" s="45" t="s">
        <v>140</v>
      </c>
      <c r="C10" s="31">
        <f>IFERROR(VLOOKUP(A10,[4]Małopolski!$A$7:$D$100,4,FALSE),0)</f>
        <v>340469</v>
      </c>
      <c r="D10" s="13">
        <f t="shared" ref="D10:D34" si="2">C10</f>
        <v>340469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f>IFERROR(VLOOKUP(A11,[4]Małopolski!$A$7:$D$100,4,FALSE),0)</f>
        <v>308064</v>
      </c>
      <c r="D11" s="13">
        <f t="shared" si="2"/>
        <v>308064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IFERROR(VLOOKUP(A12,[4]Małopolski!$A$7:$D$100,4,FALSE),0)</f>
        <v>104462</v>
      </c>
      <c r="D12" s="13">
        <f t="shared" si="2"/>
        <v>104462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f>IFERROR(VLOOKUP(A13,[4]Małopolski!$A$7:$D$100,4,FALSE),0)</f>
        <v>52342</v>
      </c>
      <c r="D13" s="13">
        <f t="shared" si="2"/>
        <v>52342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IFERROR(VLOOKUP(A14,[4]Małopolski!$A$7:$D$100,4,FALSE),0)</f>
        <v>202371</v>
      </c>
      <c r="D14" s="13">
        <f t="shared" si="2"/>
        <v>202371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f>IFERROR(VLOOKUP(A15,[4]Małopolski!$A$7:$D$100,4,FALSE),0)</f>
        <v>207862</v>
      </c>
      <c r="D15" s="13">
        <f t="shared" si="2"/>
        <v>207862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f>IFERROR(VLOOKUP(A16,[4]Małopolski!$A$7:$D$100,4,FALSE),0)</f>
        <v>157959</v>
      </c>
      <c r="D16" s="13">
        <f t="shared" si="2"/>
        <v>157959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f>IFERROR(VLOOKUP(A17,[4]Małopolski!$A$7:$D$100,4,FALSE),0)</f>
        <v>71484</v>
      </c>
      <c r="D17" s="13">
        <f t="shared" si="2"/>
        <v>71484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f>IFERROR(VLOOKUP(A18,[4]Małopolski!$A$7:$D$100,4,FALSE),0)</f>
        <v>195517</v>
      </c>
      <c r="D18" s="13">
        <f t="shared" si="2"/>
        <v>195517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IFERROR(VLOOKUP(A19,[4]Małopolski!$A$7:$D$100,4,FALSE),0)</f>
        <v>52380</v>
      </c>
      <c r="D19" s="13">
        <f t="shared" si="2"/>
        <v>52380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f>IFERROR(VLOOKUP(A20,[4]Małopolski!$A$7:$D$100,4,FALSE),0)</f>
        <v>1750</v>
      </c>
      <c r="D20" s="13">
        <f t="shared" si="2"/>
        <v>1750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IFERROR(VLOOKUP(A21,[4]Małopolski!$A$7:$D$100,4,FALSE),0)</f>
        <v>15077</v>
      </c>
      <c r="D21" s="13">
        <f t="shared" si="2"/>
        <v>15077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f>IFERROR(VLOOKUP(A22,[4]Małopolski!$A$7:$D$100,4,FALSE),0)</f>
        <v>174477</v>
      </c>
      <c r="D22" s="13">
        <f t="shared" si="2"/>
        <v>174477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f>IFERROR(VLOOKUP(A23,[4]Małopolski!$A$7:$D$100,4,FALSE),0)</f>
        <v>79000</v>
      </c>
      <c r="D23" s="13">
        <f t="shared" si="2"/>
        <v>79000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180</v>
      </c>
      <c r="C24" s="31">
        <f>IFERROR(VLOOKUP(A24,[4]Małopolski!$A$7:$D$100,4,FALSE),0)</f>
        <v>705973</v>
      </c>
      <c r="D24" s="31">
        <f>SUM(D25:D27)</f>
        <v>705973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IFERROR(VLOOKUP(A25,[4]Małopolski!$A$7:$D$100,4,FALSE),0)</f>
        <v>701973</v>
      </c>
      <c r="D25" s="13">
        <f t="shared" si="2"/>
        <v>701973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IFERROR(VLOOKUP(A26,[4]Małopolski!$A$7:$D$100,4,FALSE),0)</f>
        <v>3000</v>
      </c>
      <c r="D26" s="13">
        <f t="shared" si="2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IFERROR(VLOOKUP(A27,[4]Małopolski!$A$7:$D$100,4,FALSE),0)</f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IFERROR(VLOOKUP(A28,[4]Małopolski!$A$7:$D$100,4,FALSE),0)</f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IFERROR(VLOOKUP(A29,[4]Małopolski!$A$7:$D$100,4,FALSE),0)</f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IFERROR(VLOOKUP(A30,[4]Małopolski!$A$7:$D$100,4,FALSE),0)</f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IFERROR(VLOOKUP(A31,[4]Małopolski!$A$7:$D$100,4,FALSE),0)</f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IFERROR(VLOOKUP(A32,[4]Małopolski!$A$7:$D$100,4,FALSE),0)</f>
        <v>8854</v>
      </c>
      <c r="D32" s="13">
        <f t="shared" si="2"/>
        <v>8854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181</v>
      </c>
      <c r="B33" s="16" t="s">
        <v>182</v>
      </c>
      <c r="C33" s="31">
        <f>IFERROR(VLOOKUP(A33,[4]Małopolski!$A$7:$D$100,4,FALSE),0)</f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190</v>
      </c>
      <c r="B34" s="16" t="s">
        <v>191</v>
      </c>
      <c r="C34" s="31">
        <f>IFERROR(VLOOKUP(A34,[4]Małopolski!$A$7:$D$100,4,FALSE),0)</f>
        <v>3248</v>
      </c>
      <c r="D34" s="13">
        <f t="shared" si="2"/>
        <v>3248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f>IFERROR(VLOOKUP(A35,[4]Małopolski!$A$7:$D$100,4,FALSE),0)</f>
        <v>590</v>
      </c>
      <c r="D35" s="37">
        <f>C35</f>
        <v>590</v>
      </c>
      <c r="E35" s="7" t="str">
        <f t="shared" si="0"/>
        <v>-</v>
      </c>
      <c r="F35" s="40">
        <f t="shared" si="1"/>
        <v>1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f>IFERROR(VLOOKUP(A36,[4]Małopolski!$A$7:$D$100,4,FALSE),0)</f>
        <v>154271</v>
      </c>
      <c r="D36" s="37">
        <f>C36</f>
        <v>154271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192</v>
      </c>
      <c r="B37" s="17" t="s">
        <v>193</v>
      </c>
      <c r="C37" s="32">
        <f>IFERROR(VLOOKUP(A37,[4]Małopolski!$A$7:$D$100,4,FALSE),0)</f>
        <v>50527</v>
      </c>
      <c r="D37" s="37">
        <f>C37</f>
        <v>50527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1066379</v>
      </c>
      <c r="D38" s="32">
        <f>D11+D13+D24+D30</f>
        <v>1066379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4" t="s">
        <v>16</v>
      </c>
      <c r="B39" s="105" t="s">
        <v>186</v>
      </c>
      <c r="C39" s="87">
        <f>C40+C41+C42+C50+C52+C58+C59+C57</f>
        <v>42539</v>
      </c>
      <c r="D39" s="87">
        <f>D40+D41+D42+D50+D52+D58+D59+D57</f>
        <v>42539</v>
      </c>
      <c r="E39" s="83" t="str">
        <f t="shared" si="0"/>
        <v>-</v>
      </c>
      <c r="F39" s="106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IFERROR(VLOOKUP(A40,[4]Małopolski!$A$7:$D$100,4,FALSE),0)</f>
        <v>1750</v>
      </c>
      <c r="D40" s="33">
        <f>C40</f>
        <v>1750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IFERROR(VLOOKUP(A41,[4]Małopolski!$A$7:$D$100,4,FALSE),0)</f>
        <v>5827</v>
      </c>
      <c r="D41" s="33">
        <f t="shared" ref="D41:D59" si="3">C41</f>
        <v>5827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187</v>
      </c>
      <c r="C42" s="33">
        <f>C43+C45+C46+C47+C48+C49</f>
        <v>290</v>
      </c>
      <c r="D42" s="33">
        <f>D43+D45+D46+D47+D48+D49</f>
        <v>290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IFERROR(VLOOKUP(A43,[4]Małopolski!$A$7:$D$100,4,FALSE),0)</f>
        <v>24</v>
      </c>
      <c r="D43" s="33">
        <f t="shared" si="3"/>
        <v>24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IFERROR(VLOOKUP(A44,[4]Małopolski!$A$7:$D$100,4,FALSE),0)</f>
        <v>24</v>
      </c>
      <c r="D44" s="33">
        <f t="shared" si="3"/>
        <v>24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IFERROR(VLOOKUP(A45,[4]Małopolski!$A$7:$D$100,4,FALSE),0)</f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IFERROR(VLOOKUP(A46,[4]Małopolski!$A$7:$D$100,4,FALSE),0)</f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f>IFERROR(VLOOKUP(A47,[4]Małopolski!$A$7:$D$100,4,FALSE),0)</f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IFERROR(VLOOKUP(A48,[4]Małopolski!$A$7:$D$100,4,FALSE),0)</f>
        <v>152</v>
      </c>
      <c r="D48" s="33">
        <f t="shared" si="3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IFERROR(VLOOKUP(A49,[4]Małopolski!$A$7:$D$100,4,FALSE),0)</f>
        <v>60</v>
      </c>
      <c r="D49" s="33">
        <f t="shared" si="3"/>
        <v>60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IFERROR(VLOOKUP(A50,[4]Małopolski!$A$7:$D$100,4,FALSE),0)</f>
        <v>23725</v>
      </c>
      <c r="D50" s="33">
        <f t="shared" si="3"/>
        <v>23725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IFERROR(VLOOKUP(A51,[4]Małopolski!$A$7:$D$100,4,FALSE),0)</f>
        <v>24</v>
      </c>
      <c r="D51" s="33">
        <f t="shared" si="3"/>
        <v>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185</v>
      </c>
      <c r="C52" s="29">
        <f>C53+C54+C55+C56</f>
        <v>5338</v>
      </c>
      <c r="D52" s="29">
        <f>D53+D54+D55+D56</f>
        <v>5338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IFERROR(VLOOKUP(A53,[4]Małopolski!$A$7:$D$100,4,FALSE),0)</f>
        <v>4071</v>
      </c>
      <c r="D53" s="33">
        <f t="shared" si="3"/>
        <v>4071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IFERROR(VLOOKUP(A54,[4]Małopolski!$A$7:$D$100,4,FALSE),0)</f>
        <v>584</v>
      </c>
      <c r="D54" s="33">
        <f t="shared" si="3"/>
        <v>584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IFERROR(VLOOKUP(A55,[4]Małopolski!$A$7:$D$100,4,FALSE),0)</f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IFERROR(VLOOKUP(A56,[4]Małopolski!$A$7:$D$100,4,FALSE),0)</f>
        <v>683</v>
      </c>
      <c r="D56" s="33">
        <f t="shared" si="3"/>
        <v>683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IFERROR(VLOOKUP(A57,[4]Małopolski!$A$7:$D$100,4,FALSE),0)</f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IFERROR(VLOOKUP(A58,[4]Małopolski!$A$7:$D$100,4,FALSE),0)</f>
        <v>5300</v>
      </c>
      <c r="D58" s="33">
        <f t="shared" si="3"/>
        <v>5300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IFERROR(VLOOKUP(A59,[4]Małopolski!$A$7:$D$100,4,FALSE),0)</f>
        <v>309</v>
      </c>
      <c r="D59" s="33">
        <f t="shared" si="3"/>
        <v>309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7">
        <f>C61+C62+C63+C64</f>
        <v>19360</v>
      </c>
      <c r="D60" s="107">
        <f>D61+D62+D63+D64</f>
        <v>15665</v>
      </c>
      <c r="E60" s="83">
        <f t="shared" si="0"/>
        <v>-3695</v>
      </c>
      <c r="F60" s="108">
        <f t="shared" si="1"/>
        <v>0.80910000000000004</v>
      </c>
    </row>
    <row r="61" spans="1:6" ht="42" customHeight="1" x14ac:dyDescent="0.2">
      <c r="A61" s="51" t="s">
        <v>100</v>
      </c>
      <c r="B61" s="18" t="s">
        <v>113</v>
      </c>
      <c r="C61" s="31">
        <f>IFERROR(VLOOKUP(A61,[4]Małopolski!$A$7:$D$100,4,FALSE),0)</f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f>IFERROR(VLOOKUP(A62,[4]Małopolski!$A$7:$D$100,4,FALSE),0)</f>
        <v>16095</v>
      </c>
      <c r="D62" s="33">
        <f>C62-3695</f>
        <v>12400</v>
      </c>
      <c r="E62" s="29">
        <f t="shared" si="0"/>
        <v>-3695</v>
      </c>
      <c r="F62" s="39">
        <f t="shared" si="1"/>
        <v>0.77039999999999997</v>
      </c>
    </row>
    <row r="63" spans="1:6" ht="31.5" customHeight="1" x14ac:dyDescent="0.2">
      <c r="A63" s="51" t="s">
        <v>30</v>
      </c>
      <c r="B63" s="18" t="s">
        <v>102</v>
      </c>
      <c r="C63" s="31">
        <f>IFERROR(VLOOKUP(A63,[4]Małopolski!$A$7:$D$100,4,FALSE),0)</f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IFERROR(VLOOKUP(A64,[4]Małopolski!$A$7:$D$100,4,FALSE),0)</f>
        <v>3265</v>
      </c>
      <c r="D64" s="33">
        <f>C64</f>
        <v>3265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7">
        <f>IFERROR(VLOOKUP(A65,[4]Małopolski!$A$7:$D$100,4,FALSE),0)</f>
        <v>300</v>
      </c>
      <c r="D65" s="107">
        <f>C65+3695</f>
        <v>3995</v>
      </c>
      <c r="E65" s="83">
        <f t="shared" si="0"/>
        <v>3695</v>
      </c>
      <c r="F65" s="108">
        <f t="shared" si="1"/>
        <v>13.316700000000001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Babraj Rafał</cp:lastModifiedBy>
  <cp:lastPrinted>2017-11-29T09:08:55Z</cp:lastPrinted>
  <dcterms:created xsi:type="dcterms:W3CDTF">2005-07-21T09:51:05Z</dcterms:created>
  <dcterms:modified xsi:type="dcterms:W3CDTF">2017-12-15T09:23:30Z</dcterms:modified>
</cp:coreProperties>
</file>