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14C04B6E-4FF5-4FB9-B8FF-9023B1FCE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8" i="4" l="1"/>
  <c r="C97" i="4"/>
  <c r="C96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1" i="4"/>
  <c r="K81" i="4" s="1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I52" i="4" s="1"/>
  <c r="I58" i="4" s="1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K17" i="4" s="1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73" i="4"/>
  <c r="K21" i="4"/>
  <c r="K68" i="4"/>
  <c r="D96" i="4"/>
  <c r="B61" i="4" s="1"/>
  <c r="K26" i="4"/>
  <c r="K74" i="4"/>
  <c r="K32" i="4"/>
  <c r="K11" i="4"/>
  <c r="K80" i="4"/>
  <c r="K33" i="4"/>
  <c r="K15" i="4"/>
  <c r="C14" i="4"/>
  <c r="K49" i="4"/>
  <c r="J51" i="4"/>
  <c r="J56" i="4"/>
  <c r="J49" i="4"/>
  <c r="J57" i="4"/>
  <c r="K57" i="4"/>
  <c r="K20" i="4"/>
  <c r="K51" i="4"/>
  <c r="K27" i="4"/>
  <c r="D14" i="4"/>
  <c r="J14" i="4" s="1"/>
  <c r="K67" i="4"/>
  <c r="K75" i="4"/>
  <c r="K22" i="4"/>
  <c r="K28" i="4"/>
  <c r="K54" i="4"/>
  <c r="K69" i="4"/>
  <c r="H52" i="4"/>
  <c r="H58" i="4" s="1"/>
  <c r="K76" i="4"/>
  <c r="K23" i="4"/>
  <c r="K35" i="4"/>
  <c r="K56" i="4"/>
  <c r="K70" i="4"/>
  <c r="J79" i="4"/>
  <c r="J78" i="4"/>
  <c r="J76" i="4"/>
  <c r="J81" i="4"/>
  <c r="J80" i="4"/>
  <c r="J77" i="4"/>
  <c r="K50" i="4"/>
  <c r="K77" i="4"/>
  <c r="K9" i="4"/>
  <c r="K24" i="4"/>
  <c r="K30" i="4"/>
  <c r="K65" i="4"/>
  <c r="K71" i="4"/>
  <c r="K53" i="4"/>
  <c r="J75" i="4"/>
  <c r="J70" i="4"/>
  <c r="K78" i="4"/>
  <c r="K10" i="4"/>
  <c r="K19" i="4"/>
  <c r="K25" i="4"/>
  <c r="K31" i="4"/>
  <c r="K39" i="4"/>
  <c r="F52" i="4"/>
  <c r="F58" i="4"/>
  <c r="K66" i="4"/>
  <c r="K72" i="4"/>
  <c r="K16" i="4"/>
  <c r="K34" i="4"/>
  <c r="J32" i="4"/>
  <c r="J39" i="4"/>
  <c r="J19" i="4"/>
  <c r="J23" i="4"/>
  <c r="J27" i="4"/>
  <c r="J34" i="4"/>
  <c r="J15" i="4"/>
  <c r="J24" i="4"/>
  <c r="J29" i="4"/>
  <c r="J8" i="4"/>
  <c r="D38" i="4"/>
  <c r="D40" i="4" s="1"/>
  <c r="J40" i="4" s="1"/>
  <c r="J33" i="4"/>
  <c r="J31" i="4"/>
  <c r="J35" i="4"/>
  <c r="J9" i="4"/>
  <c r="J16" i="4"/>
  <c r="D59" i="4"/>
  <c r="J26" i="4"/>
  <c r="J30" i="4"/>
  <c r="J20" i="4"/>
  <c r="J25" i="4"/>
  <c r="J22" i="4"/>
  <c r="J36" i="4"/>
  <c r="J17" i="4"/>
  <c r="K8" i="4"/>
  <c r="K29" i="4"/>
  <c r="K18" i="4"/>
  <c r="K36" i="4"/>
  <c r="E52" i="4"/>
  <c r="E58" i="4"/>
  <c r="G52" i="4"/>
  <c r="G58" i="4"/>
  <c r="K55" i="4"/>
  <c r="K79" i="4"/>
  <c r="J68" i="4"/>
  <c r="J72" i="4"/>
  <c r="C52" i="4"/>
  <c r="C58" i="4" s="1"/>
  <c r="J54" i="4"/>
  <c r="K6" i="4"/>
  <c r="J66" i="4"/>
  <c r="J50" i="4"/>
  <c r="J10" i="4"/>
  <c r="J18" i="4"/>
  <c r="J21" i="4"/>
  <c r="C38" i="4"/>
  <c r="J28" i="4"/>
  <c r="C59" i="4"/>
  <c r="J67" i="4"/>
  <c r="J74" i="4"/>
  <c r="J73" i="4"/>
  <c r="J71" i="4"/>
  <c r="D52" i="4"/>
  <c r="J52" i="4" s="1"/>
  <c r="J69" i="4"/>
  <c r="J55" i="4"/>
  <c r="J65" i="4"/>
  <c r="J53" i="4"/>
  <c r="J6" i="4"/>
  <c r="J11" i="4"/>
  <c r="J38" i="4"/>
  <c r="C40" i="4"/>
  <c r="K38" i="4" l="1"/>
  <c r="B42" i="4"/>
  <c r="B1" i="4"/>
  <c r="K52" i="4"/>
  <c r="D58" i="4"/>
  <c r="J58" i="4" s="1"/>
  <c r="D13" i="4"/>
  <c r="K14" i="4"/>
  <c r="C13" i="4"/>
  <c r="K40" i="4"/>
  <c r="K58" i="4" l="1"/>
  <c r="J13" i="4"/>
  <c r="D7" i="4"/>
  <c r="K13" i="4"/>
  <c r="C7" i="4"/>
  <c r="J7" i="4" l="1"/>
  <c r="L8" i="4"/>
  <c r="L9" i="4"/>
  <c r="L10" i="4"/>
  <c r="L7" i="4"/>
  <c r="D12" i="4"/>
  <c r="L11" i="4"/>
  <c r="C12" i="4"/>
  <c r="K12" i="4" s="1"/>
  <c r="K7" i="4"/>
  <c r="J12" i="4" l="1"/>
  <c r="L12" i="4"/>
</calcChain>
</file>

<file path=xl/sharedStrings.xml><?xml version="1.0" encoding="utf-8"?>
<sst xmlns="http://schemas.openxmlformats.org/spreadsheetml/2006/main" count="372" uniqueCount="96">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</sst>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5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5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6" fillId="0" borderId="0" xfId="0" applyFont="1"/>
    <xf numFmtId="49" fontId="2" fillId="0" borderId="0" xfId="0" applyNumberFormat="1" applyFont="1"/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99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5.7109375" style="1" customWidth="1"/>
    <col min="5" max="9" width="15.7109375" style="1" customWidth="1" outlineLevel="1"/>
    <col min="10" max="10" width="13" style="1" customWidth="1"/>
    <col min="11" max="11" width="9.7109375" style="1" customWidth="1"/>
    <col min="12" max="12" width="10.140625" style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",$D$96," ",$C$97," rok    ",$C$99,"")</f>
        <v>Informacja z wykonania budżetów związków jednostek samorządu terytorialnego za IV Kwartały 2024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19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19"/>
      <c r="C4" s="125" t="s">
        <v>40</v>
      </c>
      <c r="D4" s="127"/>
      <c r="E4" s="128" t="s">
        <v>79</v>
      </c>
      <c r="F4" s="129"/>
      <c r="G4" s="129"/>
      <c r="H4" s="129"/>
      <c r="I4" s="130"/>
      <c r="J4" s="125" t="s">
        <v>4</v>
      </c>
      <c r="K4" s="126"/>
      <c r="L4" s="127"/>
    </row>
    <row r="5" spans="2:12" x14ac:dyDescent="0.2">
      <c r="B5" s="41">
        <v>1</v>
      </c>
      <c r="C5" s="40">
        <v>2</v>
      </c>
      <c r="D5" s="40">
        <v>3</v>
      </c>
      <c r="E5" s="131"/>
      <c r="F5" s="132"/>
      <c r="G5" s="132"/>
      <c r="H5" s="132"/>
      <c r="I5" s="133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4828924529.95</f>
        <v>4828924529.9499998</v>
      </c>
      <c r="D6" s="51">
        <f>4852828081.79</f>
        <v>4852828081.79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100.49500777433454</v>
      </c>
      <c r="L6" s="52"/>
    </row>
    <row r="7" spans="2:12" ht="27" customHeight="1" x14ac:dyDescent="0.2">
      <c r="B7" s="94" t="s">
        <v>27</v>
      </c>
      <c r="C7" s="15">
        <f>C6-C13</f>
        <v>4271871351.79</v>
      </c>
      <c r="D7" s="15">
        <f>D6-D13</f>
        <v>4395245120.96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90.570798035334121</v>
      </c>
      <c r="K7" s="19">
        <f t="shared" si="1"/>
        <v>102.88804973301229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522744586</f>
        <v>522744586</v>
      </c>
      <c r="D8" s="54">
        <f>522744586</f>
        <v>522744586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10.771957654168164</v>
      </c>
      <c r="K8" s="20">
        <f t="shared" si="1"/>
        <v>100</v>
      </c>
      <c r="L8" s="20">
        <f t="shared" si="2"/>
        <v>11.893411439265149</v>
      </c>
    </row>
    <row r="9" spans="2:12" ht="22.5" outlineLevel="1" x14ac:dyDescent="0.2">
      <c r="B9" s="56" t="s">
        <v>68</v>
      </c>
      <c r="C9" s="53">
        <f>1420897226.14</f>
        <v>1420897226.1400001</v>
      </c>
      <c r="D9" s="54">
        <f>1429007764.83</f>
        <v>1429007764.8299999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29.446906849889896</v>
      </c>
      <c r="K9" s="20">
        <f t="shared" si="1"/>
        <v>100.57080403429549</v>
      </c>
      <c r="L9" s="20">
        <f t="shared" si="2"/>
        <v>32.51258406534285</v>
      </c>
    </row>
    <row r="10" spans="2:12" ht="33.75" outlineLevel="1" x14ac:dyDescent="0.2">
      <c r="B10" s="56" t="s">
        <v>85</v>
      </c>
      <c r="C10" s="53">
        <f>893839952.54</f>
        <v>893839952.53999996</v>
      </c>
      <c r="D10" s="54">
        <f>890474746.87</f>
        <v>890474746.87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18.349604227923567</v>
      </c>
      <c r="K10" s="20">
        <f t="shared" si="1"/>
        <v>99.623511383616588</v>
      </c>
      <c r="L10" s="20">
        <f t="shared" si="2"/>
        <v>20.259956438459213</v>
      </c>
    </row>
    <row r="11" spans="2:12" ht="12.75" customHeight="1" outlineLevel="1" x14ac:dyDescent="0.2">
      <c r="B11" s="56" t="s">
        <v>19</v>
      </c>
      <c r="C11" s="53">
        <f>85098891.92</f>
        <v>85098891.920000002</v>
      </c>
      <c r="D11" s="54">
        <f>85989836.93</f>
        <v>85989836.930000007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1.7719530855146643</v>
      </c>
      <c r="K11" s="20">
        <f t="shared" si="1"/>
        <v>101.04695253944971</v>
      </c>
      <c r="L11" s="20">
        <f t="shared" si="2"/>
        <v>1.9564286988211999</v>
      </c>
    </row>
    <row r="12" spans="2:12" ht="12.75" customHeight="1" outlineLevel="1" x14ac:dyDescent="0.2">
      <c r="B12" s="56" t="s">
        <v>20</v>
      </c>
      <c r="C12" s="53">
        <f>C7-SUM(C8:C11)</f>
        <v>1349290695.1899996</v>
      </c>
      <c r="D12" s="53">
        <f>D7-SUM(D8:D11)</f>
        <v>1467028186.3300004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30.23037621783784</v>
      </c>
      <c r="K12" s="20">
        <f t="shared" si="1"/>
        <v>108.72588031324277</v>
      </c>
      <c r="L12" s="20">
        <f t="shared" si="2"/>
        <v>33.377619358111595</v>
      </c>
    </row>
    <row r="13" spans="2:12" ht="27" customHeight="1" x14ac:dyDescent="0.2">
      <c r="B13" s="95" t="s">
        <v>59</v>
      </c>
      <c r="C13" s="51">
        <f>C14+C33+C35</f>
        <v>557053178.15999997</v>
      </c>
      <c r="D13" s="51">
        <f>D14+D33+D35</f>
        <v>457582960.82999998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9.4292019646658751</v>
      </c>
      <c r="K13" s="52">
        <f t="shared" si="1"/>
        <v>82.143497025084812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500919934.56999999</v>
      </c>
      <c r="D14" s="51">
        <f>D15+D17+D19+D21+D23+D25+D27+D29+D31</f>
        <v>412057250.61000001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8.4910745582812766</v>
      </c>
      <c r="K14" s="52">
        <f t="shared" si="1"/>
        <v>82.260102298328064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5000000</f>
        <v>5000000</v>
      </c>
      <c r="D17" s="53">
        <f>5000000</f>
        <v>5000000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0.10303270414136977</v>
      </c>
      <c r="K17" s="20">
        <f t="shared" si="1"/>
        <v>100</v>
      </c>
      <c r="L17" s="17"/>
    </row>
    <row r="18" spans="2:12" ht="12.75" customHeight="1" outlineLevel="1" x14ac:dyDescent="0.2">
      <c r="B18" s="98" t="s">
        <v>6</v>
      </c>
      <c r="C18" s="53">
        <f>5000000</f>
        <v>5000000</v>
      </c>
      <c r="D18" s="53">
        <f>5000000</f>
        <v>5000000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0.10303270414136977</v>
      </c>
      <c r="K18" s="20">
        <f t="shared" si="1"/>
        <v>100</v>
      </c>
      <c r="L18" s="17"/>
    </row>
    <row r="19" spans="2:12" ht="33.75" outlineLevel="1" x14ac:dyDescent="0.2">
      <c r="B19" s="96" t="s">
        <v>10</v>
      </c>
      <c r="C19" s="53">
        <f>47775</f>
        <v>47775</v>
      </c>
      <c r="D19" s="53">
        <f>46154.5</f>
        <v>46154.5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9.5108458865857017E-4</v>
      </c>
      <c r="K19" s="20">
        <f t="shared" si="1"/>
        <v>96.608058608058613</v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32376008.82</f>
        <v>32376008.82</v>
      </c>
      <c r="D21" s="53">
        <f>31302486.65</f>
        <v>31302486.649999999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0.64503596917972528</v>
      </c>
      <c r="K21" s="20">
        <f t="shared" si="1"/>
        <v>96.684204727122378</v>
      </c>
      <c r="L21" s="17"/>
    </row>
    <row r="22" spans="2:12" ht="12.75" customHeight="1" outlineLevel="1" x14ac:dyDescent="0.2">
      <c r="B22" s="98" t="s">
        <v>6</v>
      </c>
      <c r="C22" s="53">
        <f>988263.64</f>
        <v>988263.64</v>
      </c>
      <c r="D22" s="53">
        <f>988263.64</f>
        <v>988263.64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2.036469504675863E-2</v>
      </c>
      <c r="K22" s="20">
        <f t="shared" si="1"/>
        <v>100</v>
      </c>
      <c r="L22" s="17"/>
    </row>
    <row r="23" spans="2:12" ht="34.5" customHeight="1" outlineLevel="1" x14ac:dyDescent="0.2">
      <c r="B23" s="99" t="s">
        <v>41</v>
      </c>
      <c r="C23" s="53">
        <f>9977959.83</f>
        <v>9977959.8300000001</v>
      </c>
      <c r="D23" s="53">
        <f>8059344.99</f>
        <v>8059344.9900000002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0.16607522158558014</v>
      </c>
      <c r="K23" s="20">
        <f t="shared" si="1"/>
        <v>80.771471596513734</v>
      </c>
      <c r="L23" s="17"/>
    </row>
    <row r="24" spans="2:12" ht="12.75" customHeight="1" outlineLevel="1" x14ac:dyDescent="0.2">
      <c r="B24" s="98" t="s">
        <v>6</v>
      </c>
      <c r="C24" s="53">
        <f>9188186.83</f>
        <v>9188186.8300000001</v>
      </c>
      <c r="D24" s="53">
        <f>7275057.53</f>
        <v>7275057.5300000003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0.14991377001998685</v>
      </c>
      <c r="K24" s="20">
        <f t="shared" si="1"/>
        <v>79.178380507528274</v>
      </c>
      <c r="L24" s="17"/>
    </row>
    <row r="25" spans="2:12" ht="12.75" customHeight="1" outlineLevel="1" x14ac:dyDescent="0.2">
      <c r="B25" s="96" t="s">
        <v>8</v>
      </c>
      <c r="C25" s="53">
        <f>647130</f>
        <v>647130</v>
      </c>
      <c r="D25" s="53">
        <f>647130</f>
        <v>647130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1.3335110766200923E-2</v>
      </c>
      <c r="K25" s="20">
        <f t="shared" si="1"/>
        <v>100</v>
      </c>
      <c r="L25" s="17"/>
    </row>
    <row r="26" spans="2:12" ht="12.75" customHeight="1" outlineLevel="1" x14ac:dyDescent="0.2">
      <c r="B26" s="98" t="s">
        <v>6</v>
      </c>
      <c r="C26" s="53">
        <f>587640</f>
        <v>587640</v>
      </c>
      <c r="D26" s="53">
        <f>587640</f>
        <v>587640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1.2109227652326904E-2</v>
      </c>
      <c r="K26" s="20">
        <f t="shared" si="1"/>
        <v>100</v>
      </c>
      <c r="L26" s="17"/>
    </row>
    <row r="27" spans="2:12" ht="67.5" outlineLevel="1" x14ac:dyDescent="0.2">
      <c r="B27" s="100" t="s">
        <v>70</v>
      </c>
      <c r="C27" s="53">
        <f>619000</f>
        <v>619000</v>
      </c>
      <c r="D27" s="53">
        <f>598321.64</f>
        <v>598321.64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1.232933930309983E-2</v>
      </c>
      <c r="K27" s="20">
        <f t="shared" si="1"/>
        <v>96.659392568659129</v>
      </c>
      <c r="L27" s="17"/>
    </row>
    <row r="28" spans="2:12" ht="12.75" customHeight="1" outlineLevel="1" x14ac:dyDescent="0.2">
      <c r="B28" s="98" t="s">
        <v>71</v>
      </c>
      <c r="C28" s="53">
        <f>0</f>
        <v>0</v>
      </c>
      <c r="D28" s="53">
        <f>0</f>
        <v>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0</v>
      </c>
      <c r="K28" s="20" t="str">
        <f t="shared" si="1"/>
        <v/>
      </c>
      <c r="L28" s="17"/>
    </row>
    <row r="29" spans="2:12" ht="45" outlineLevel="1" x14ac:dyDescent="0.2">
      <c r="B29" s="100" t="s">
        <v>67</v>
      </c>
      <c r="C29" s="53">
        <f>452252060.92</f>
        <v>452252060.92000002</v>
      </c>
      <c r="D29" s="53">
        <f>366403812.83</f>
        <v>366403812.82999998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7.5503151287166421</v>
      </c>
      <c r="K29" s="66">
        <f t="shared" si="1"/>
        <v>81.017610419428038</v>
      </c>
      <c r="L29" s="17"/>
    </row>
    <row r="30" spans="2:12" ht="12.75" customHeight="1" outlineLevel="1" x14ac:dyDescent="0.2">
      <c r="B30" s="98" t="s">
        <v>6</v>
      </c>
      <c r="C30" s="53">
        <f>452252060.92</f>
        <v>452252060.92000002</v>
      </c>
      <c r="D30" s="53">
        <f>366403812.83</f>
        <v>366403812.82999998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7.5503151287166421</v>
      </c>
      <c r="K30" s="20">
        <f t="shared" si="1"/>
        <v>81.017610419428038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533946.77</f>
        <v>533946.77</v>
      </c>
      <c r="D33" s="53">
        <f>533946.77</f>
        <v>533946.77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1.1002795916130001E-2</v>
      </c>
      <c r="K33" s="19">
        <f t="shared" si="1"/>
        <v>100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94645.14</f>
        <v>94645.14</v>
      </c>
      <c r="D34" s="53">
        <f>94645.14</f>
        <v>94645.14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1.9503089416077041E-3</v>
      </c>
      <c r="K34" s="20">
        <f t="shared" si="1"/>
        <v>100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55599296.82</f>
        <v>55599296.82</v>
      </c>
      <c r="D35" s="53">
        <f>44991763.45</f>
        <v>44991763.450000003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0.92712461046846872</v>
      </c>
      <c r="K35" s="57">
        <f t="shared" si="1"/>
        <v>80.921461283329947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39719368.89</f>
        <v>39719368.890000001</v>
      </c>
      <c r="D36" s="53">
        <f>37004658.36</f>
        <v>37004658.359999999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0.76253800333166899</v>
      </c>
      <c r="K36" s="20">
        <f t="shared" si="1"/>
        <v>93.165272747615404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4828924529.9499998</v>
      </c>
      <c r="D38" s="51">
        <f>+D6</f>
        <v>4852828081.79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100.49500777433454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667975697.67</f>
        <v>667975697.66999996</v>
      </c>
      <c r="D39" s="14">
        <f>562954810.32</f>
        <v>562954810.32000005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11.600551283332299</v>
      </c>
      <c r="K39" s="20">
        <f t="shared" si="1"/>
        <v>84.277738289532294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4160948832.2799997</v>
      </c>
      <c r="D40" s="14">
        <f>D38-D39</f>
        <v>4289873271.4699998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88.399448716667706</v>
      </c>
      <c r="K40" s="20">
        <f t="shared" si="1"/>
        <v>103.09843846648208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",$D$96," ",$C$97," rok        ",$C$99,"")</f>
        <v>Informacja z wykonania budżetów związków jednostek samorządu terytorialnego za IV Kwartały 2024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19" t="s">
        <v>0</v>
      </c>
      <c r="C44" s="135" t="s">
        <v>50</v>
      </c>
      <c r="D44" s="135" t="s">
        <v>52</v>
      </c>
      <c r="E44" s="135" t="s">
        <v>51</v>
      </c>
      <c r="F44" s="135" t="s">
        <v>12</v>
      </c>
      <c r="G44" s="135"/>
      <c r="H44" s="135"/>
      <c r="I44" s="150" t="s">
        <v>53</v>
      </c>
      <c r="J44" s="135" t="s">
        <v>2</v>
      </c>
      <c r="K44" s="149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19"/>
      <c r="C45" s="135"/>
      <c r="D45" s="135"/>
      <c r="E45" s="121"/>
      <c r="F45" s="120" t="s">
        <v>54</v>
      </c>
      <c r="G45" s="137" t="s">
        <v>23</v>
      </c>
      <c r="H45" s="121"/>
      <c r="I45" s="151"/>
      <c r="J45" s="135"/>
      <c r="K45" s="149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19"/>
      <c r="C46" s="135"/>
      <c r="D46" s="135"/>
      <c r="E46" s="121"/>
      <c r="F46" s="121"/>
      <c r="G46" s="38" t="s">
        <v>55</v>
      </c>
      <c r="H46" s="38" t="s">
        <v>56</v>
      </c>
      <c r="I46" s="152"/>
      <c r="J46" s="135"/>
      <c r="K46" s="149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19"/>
      <c r="C47" s="125" t="s">
        <v>40</v>
      </c>
      <c r="D47" s="126"/>
      <c r="E47" s="126"/>
      <c r="F47" s="126"/>
      <c r="G47" s="126"/>
      <c r="H47" s="126"/>
      <c r="I47" s="127"/>
      <c r="J47" s="134" t="s">
        <v>4</v>
      </c>
      <c r="K47" s="134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6" ht="27" customHeight="1" x14ac:dyDescent="0.2">
      <c r="B49" s="93" t="s">
        <v>29</v>
      </c>
      <c r="C49" s="58">
        <f>5199978921.56</f>
        <v>5199978921.5600004</v>
      </c>
      <c r="D49" s="68">
        <f>4731474529.22</f>
        <v>4731474529.2200003</v>
      </c>
      <c r="E49" s="68">
        <f>4736505007.1</f>
        <v>4736505007.1000004</v>
      </c>
      <c r="F49" s="58">
        <f>289573935.36</f>
        <v>289573935.36000001</v>
      </c>
      <c r="G49" s="58">
        <f>949.62</f>
        <v>949.62</v>
      </c>
      <c r="H49" s="58">
        <f>20737092.35</f>
        <v>20737092.350000001</v>
      </c>
      <c r="I49" s="77">
        <f>199058</f>
        <v>199058</v>
      </c>
      <c r="J49" s="34">
        <f>IF($D$49=0,"",100*$D49/$D$49)</f>
        <v>100</v>
      </c>
      <c r="K49" s="34">
        <f>IF(C49=0,"",100*D49/C49)</f>
        <v>90.990263625925465</v>
      </c>
      <c r="L49" s="22"/>
      <c r="M49" s="74"/>
    </row>
    <row r="50" spans="2:16" x14ac:dyDescent="0.2">
      <c r="B50" s="94" t="s">
        <v>14</v>
      </c>
      <c r="C50" s="16">
        <f>1003899008.62</f>
        <v>1003899008.62</v>
      </c>
      <c r="D50" s="16">
        <f>786291887.32</f>
        <v>786291887.32000005</v>
      </c>
      <c r="E50" s="16">
        <f>789851192.11</f>
        <v>789851192.11000001</v>
      </c>
      <c r="F50" s="16">
        <f>56512295.78</f>
        <v>56512295.780000001</v>
      </c>
      <c r="G50" s="16">
        <f>0</f>
        <v>0</v>
      </c>
      <c r="H50" s="16">
        <f>0</f>
        <v>0</v>
      </c>
      <c r="I50" s="78">
        <f>199058</f>
        <v>199058</v>
      </c>
      <c r="J50" s="34">
        <f t="shared" ref="J50:J58" si="3">IF($D$49=0,"",100*$D50/$D$49)</f>
        <v>16.618326537829272</v>
      </c>
      <c r="K50" s="34">
        <f t="shared" ref="K50:K58" si="4">IF(C50=0,"",100*D50/C50)</f>
        <v>78.323803546819761</v>
      </c>
      <c r="L50" s="22"/>
      <c r="M50" s="76"/>
    </row>
    <row r="51" spans="2:16" ht="12.75" customHeight="1" outlineLevel="1" x14ac:dyDescent="0.2">
      <c r="B51" s="56" t="s">
        <v>13</v>
      </c>
      <c r="C51" s="53">
        <f>981187969.56</f>
        <v>981187969.55999994</v>
      </c>
      <c r="D51" s="53">
        <f>763806307.32</f>
        <v>763806307.32000005</v>
      </c>
      <c r="E51" s="53">
        <f>767365612.11</f>
        <v>767365612.11000001</v>
      </c>
      <c r="F51" s="53">
        <f>56512295.78</f>
        <v>56512295.780000001</v>
      </c>
      <c r="G51" s="53">
        <f>0</f>
        <v>0</v>
      </c>
      <c r="H51" s="53">
        <f>0</f>
        <v>0</v>
      </c>
      <c r="I51" s="79">
        <f>199058</f>
        <v>199058</v>
      </c>
      <c r="J51" s="34">
        <f t="shared" si="3"/>
        <v>16.143092446191737</v>
      </c>
      <c r="K51" s="34">
        <f t="shared" si="4"/>
        <v>77.845054262387492</v>
      </c>
      <c r="L51" s="22"/>
      <c r="M51" s="75"/>
    </row>
    <row r="52" spans="2:16" ht="27" customHeight="1" x14ac:dyDescent="0.2">
      <c r="B52" s="95" t="s">
        <v>30</v>
      </c>
      <c r="C52" s="59">
        <f t="shared" ref="C52:I52" si="5">C49-C50</f>
        <v>4196079912.9400005</v>
      </c>
      <c r="D52" s="67">
        <f>D49-D50</f>
        <v>3945182641.9000001</v>
      </c>
      <c r="E52" s="67">
        <f>E49-E50</f>
        <v>3946653814.9900002</v>
      </c>
      <c r="F52" s="59">
        <f t="shared" si="5"/>
        <v>233061639.58000001</v>
      </c>
      <c r="G52" s="59">
        <f t="shared" si="5"/>
        <v>949.62</v>
      </c>
      <c r="H52" s="59">
        <f t="shared" si="5"/>
        <v>20737092.350000001</v>
      </c>
      <c r="I52" s="78">
        <f t="shared" si="5"/>
        <v>0</v>
      </c>
      <c r="J52" s="34">
        <f t="shared" si="3"/>
        <v>83.381673462170724</v>
      </c>
      <c r="K52" s="34">
        <f t="shared" si="4"/>
        <v>94.020674623801227</v>
      </c>
      <c r="L52" s="22"/>
      <c r="M52" s="76"/>
    </row>
    <row r="53" spans="2:16" ht="22.5" outlineLevel="1" x14ac:dyDescent="0.2">
      <c r="B53" s="56" t="s">
        <v>72</v>
      </c>
      <c r="C53" s="53">
        <f>321994602.88</f>
        <v>321994602.88</v>
      </c>
      <c r="D53" s="53">
        <f>292367935.18</f>
        <v>292367935.18000001</v>
      </c>
      <c r="E53" s="53">
        <f>292788000.09</f>
        <v>292788000.08999997</v>
      </c>
      <c r="F53" s="53">
        <f>25018412.89</f>
        <v>25018412.890000001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6.1792139717636365</v>
      </c>
      <c r="K53" s="34">
        <f t="shared" si="4"/>
        <v>90.799017301839314</v>
      </c>
      <c r="L53" s="22"/>
      <c r="M53" s="75"/>
    </row>
    <row r="54" spans="2:16" ht="12.75" customHeight="1" outlineLevel="1" x14ac:dyDescent="0.2">
      <c r="B54" s="56" t="s">
        <v>26</v>
      </c>
      <c r="C54" s="61">
        <f>165160814.44</f>
        <v>165160814.44</v>
      </c>
      <c r="D54" s="61">
        <f>162394177.29</f>
        <v>162394177.28999999</v>
      </c>
      <c r="E54" s="61">
        <f>162394177.29</f>
        <v>162394177.28999999</v>
      </c>
      <c r="F54" s="61">
        <f>1309.5</f>
        <v>1309.5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3.432210747138297</v>
      </c>
      <c r="K54" s="34">
        <f t="shared" si="4"/>
        <v>98.32488283653683</v>
      </c>
      <c r="L54" s="22"/>
      <c r="M54" s="75"/>
    </row>
    <row r="55" spans="2:16" ht="12.75" customHeight="1" outlineLevel="1" x14ac:dyDescent="0.2">
      <c r="B55" s="56" t="s">
        <v>25</v>
      </c>
      <c r="C55" s="53">
        <f>24452262.66</f>
        <v>24452262.66</v>
      </c>
      <c r="D55" s="53">
        <f>19023962.45</f>
        <v>19023962.449999999</v>
      </c>
      <c r="E55" s="53">
        <f>19023962.45</f>
        <v>19023962.449999999</v>
      </c>
      <c r="F55" s="53">
        <f>375973.95</f>
        <v>375973.95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0.40207259560448622</v>
      </c>
      <c r="K55" s="34">
        <f t="shared" si="4"/>
        <v>77.800417550397768</v>
      </c>
      <c r="L55" s="22"/>
      <c r="M55" s="75"/>
    </row>
    <row r="56" spans="2:16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6" ht="22.5" outlineLevel="1" x14ac:dyDescent="0.2">
      <c r="B57" s="56" t="s">
        <v>37</v>
      </c>
      <c r="C57" s="61">
        <f>2823550.26</f>
        <v>2823550.26</v>
      </c>
      <c r="D57" s="61">
        <f>1622250.94</f>
        <v>1622250.94</v>
      </c>
      <c r="E57" s="61">
        <f>1622250.95</f>
        <v>1622250.95</v>
      </c>
      <c r="F57" s="61">
        <f>45427.65</f>
        <v>45427.65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3.4286371615899487E-2</v>
      </c>
      <c r="K57" s="34">
        <f t="shared" si="4"/>
        <v>57.454296563504421</v>
      </c>
      <c r="L57" s="22"/>
      <c r="M57" s="75"/>
    </row>
    <row r="58" spans="2:16" ht="12.75" customHeight="1" outlineLevel="1" x14ac:dyDescent="0.2">
      <c r="B58" s="56" t="s">
        <v>24</v>
      </c>
      <c r="C58" s="53">
        <f t="shared" ref="C58:I58" si="6">C52-C53-C54-C55-C56-C57</f>
        <v>3681648682.7000003</v>
      </c>
      <c r="D58" s="53">
        <f>D52-D53-D54-D55-D56-D57</f>
        <v>3469774316.0400004</v>
      </c>
      <c r="E58" s="71">
        <f>E52-E53-E54-E55-E56-E57</f>
        <v>3470825424.2100005</v>
      </c>
      <c r="F58" s="71">
        <f t="shared" si="6"/>
        <v>207620515.59</v>
      </c>
      <c r="G58" s="71">
        <f t="shared" si="6"/>
        <v>949.62</v>
      </c>
      <c r="H58" s="71">
        <f t="shared" si="6"/>
        <v>20737092.350000001</v>
      </c>
      <c r="I58" s="82">
        <f t="shared" si="6"/>
        <v>0</v>
      </c>
      <c r="J58" s="34">
        <f t="shared" si="3"/>
        <v>73.333889776048409</v>
      </c>
      <c r="K58" s="34">
        <f t="shared" si="4"/>
        <v>94.245122636073518</v>
      </c>
      <c r="L58" s="22"/>
      <c r="M58" s="75"/>
    </row>
    <row r="59" spans="2:16" x14ac:dyDescent="0.2">
      <c r="B59" s="93" t="s">
        <v>15</v>
      </c>
      <c r="C59" s="59">
        <f>C6-C49</f>
        <v>-371054391.61000061</v>
      </c>
      <c r="D59" s="67">
        <f>D6-D49</f>
        <v>121353552.56999969</v>
      </c>
      <c r="E59" s="72"/>
      <c r="F59" s="73"/>
      <c r="G59" s="73"/>
      <c r="H59" s="73"/>
      <c r="I59" s="136"/>
      <c r="J59" s="136"/>
      <c r="K59" s="62"/>
      <c r="L59" s="62"/>
      <c r="M59" s="43"/>
    </row>
    <row r="60" spans="2:16" ht="7.5" customHeight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6" ht="18" customHeight="1" x14ac:dyDescent="0.2">
      <c r="B61" s="112" t="str">
        <f>CONCATENATE("Informacja z wykonania budżetów związków jednostek samorządu terytorialnego za ",$D$96," ",$C$97," rok        ",$C$99,"")</f>
        <v>Informacja z wykonania budżetów związków jednostek samorządu terytorialnego za IV Kwartały 2024 rok        =""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50"/>
    </row>
    <row r="62" spans="2:16" x14ac:dyDescent="0.2">
      <c r="B62" s="46" t="s">
        <v>16</v>
      </c>
      <c r="C62" s="69" t="s">
        <v>17</v>
      </c>
      <c r="D62" s="69" t="s">
        <v>1</v>
      </c>
      <c r="E62" s="140" t="s">
        <v>79</v>
      </c>
      <c r="F62" s="141"/>
      <c r="G62" s="141"/>
      <c r="H62" s="141"/>
      <c r="I62" s="142"/>
      <c r="J62" s="40" t="s">
        <v>21</v>
      </c>
      <c r="K62" s="40" t="s">
        <v>22</v>
      </c>
      <c r="L62" s="37"/>
      <c r="M62" s="37"/>
      <c r="N62" s="37"/>
      <c r="O62" s="37"/>
      <c r="P62" s="37"/>
    </row>
    <row r="63" spans="2:16" x14ac:dyDescent="0.2">
      <c r="B63" s="46"/>
      <c r="C63" s="120" t="s">
        <v>40</v>
      </c>
      <c r="D63" s="122"/>
      <c r="E63" s="143"/>
      <c r="F63" s="144"/>
      <c r="G63" s="144"/>
      <c r="H63" s="144"/>
      <c r="I63" s="145"/>
      <c r="J63" s="153" t="s">
        <v>4</v>
      </c>
      <c r="K63" s="154"/>
      <c r="L63" s="37"/>
      <c r="M63" s="37"/>
      <c r="N63" s="37"/>
      <c r="O63" s="37"/>
      <c r="P63" s="37"/>
    </row>
    <row r="64" spans="2:16" x14ac:dyDescent="0.2">
      <c r="B64" s="47">
        <v>1</v>
      </c>
      <c r="C64" s="48">
        <v>2</v>
      </c>
      <c r="D64" s="48">
        <v>3</v>
      </c>
      <c r="E64" s="146"/>
      <c r="F64" s="147"/>
      <c r="G64" s="147"/>
      <c r="H64" s="147"/>
      <c r="I64" s="148"/>
      <c r="J64" s="49">
        <v>4</v>
      </c>
      <c r="K64" s="49">
        <v>5</v>
      </c>
      <c r="L64" s="37"/>
      <c r="M64" s="37"/>
      <c r="N64" s="37"/>
      <c r="O64" s="37"/>
      <c r="P64" s="37"/>
    </row>
    <row r="65" spans="2:16" ht="27" customHeight="1" x14ac:dyDescent="0.2">
      <c r="B65" s="106" t="s">
        <v>31</v>
      </c>
      <c r="C65" s="27">
        <f>438005128.42</f>
        <v>438005128.42000002</v>
      </c>
      <c r="D65" s="27">
        <f>1103848738.98</f>
        <v>1103848738.98</v>
      </c>
      <c r="E65" s="102" t="s">
        <v>79</v>
      </c>
      <c r="F65" s="102" t="s">
        <v>79</v>
      </c>
      <c r="G65" s="102" t="s">
        <v>79</v>
      </c>
      <c r="H65" s="102" t="s">
        <v>79</v>
      </c>
      <c r="I65" s="102" t="s">
        <v>79</v>
      </c>
      <c r="J65" s="25">
        <f>IF($D$65=0,"",100*$D65/$D$65)</f>
        <v>100</v>
      </c>
      <c r="K65" s="21">
        <f t="shared" ref="K65:K79" si="7">IF(C65=0,"",100*D65/C65)</f>
        <v>252.01730924061857</v>
      </c>
      <c r="L65" s="37"/>
      <c r="M65" s="37"/>
      <c r="N65" s="37"/>
      <c r="O65" s="37"/>
      <c r="P65" s="37"/>
    </row>
    <row r="66" spans="2:16" ht="22.5" x14ac:dyDescent="0.2">
      <c r="B66" s="108" t="s">
        <v>60</v>
      </c>
      <c r="C66" s="28">
        <f>40470368.78</f>
        <v>40470368.780000001</v>
      </c>
      <c r="D66" s="28">
        <f>31724186</f>
        <v>31724186</v>
      </c>
      <c r="E66" s="103" t="s">
        <v>79</v>
      </c>
      <c r="F66" s="103" t="s">
        <v>79</v>
      </c>
      <c r="G66" s="103" t="s">
        <v>79</v>
      </c>
      <c r="H66" s="103" t="s">
        <v>79</v>
      </c>
      <c r="I66" s="103" t="s">
        <v>79</v>
      </c>
      <c r="J66" s="32">
        <f t="shared" ref="J66:J75" si="8">IF($D$65=0,"",100*$D66/$D$65)</f>
        <v>2.87396133906122</v>
      </c>
      <c r="K66" s="33">
        <f t="shared" si="7"/>
        <v>78.38867536012603</v>
      </c>
      <c r="L66" s="37"/>
      <c r="M66" s="37"/>
      <c r="N66" s="37"/>
      <c r="O66" s="37"/>
      <c r="P66" s="37"/>
    </row>
    <row r="67" spans="2:16" ht="22.5" x14ac:dyDescent="0.2">
      <c r="B67" s="109" t="s">
        <v>61</v>
      </c>
      <c r="C67" s="64">
        <f>14070000</f>
        <v>14070000</v>
      </c>
      <c r="D67" s="64">
        <f>11628719.06</f>
        <v>11628719.060000001</v>
      </c>
      <c r="E67" s="103" t="s">
        <v>79</v>
      </c>
      <c r="F67" s="103" t="s">
        <v>79</v>
      </c>
      <c r="G67" s="103" t="s">
        <v>79</v>
      </c>
      <c r="H67" s="103" t="s">
        <v>79</v>
      </c>
      <c r="I67" s="103" t="s">
        <v>79</v>
      </c>
      <c r="J67" s="65">
        <f t="shared" si="8"/>
        <v>1.0534703396722089</v>
      </c>
      <c r="K67" s="60">
        <f t="shared" si="7"/>
        <v>82.649033830845767</v>
      </c>
      <c r="L67" s="37"/>
      <c r="M67" s="37"/>
      <c r="N67" s="37"/>
      <c r="O67" s="37"/>
      <c r="P67" s="37"/>
    </row>
    <row r="68" spans="2:16" ht="12.75" customHeight="1" x14ac:dyDescent="0.2">
      <c r="B68" s="63" t="s">
        <v>62</v>
      </c>
      <c r="C68" s="64">
        <f>0</f>
        <v>0</v>
      </c>
      <c r="D68" s="64">
        <f>0</f>
        <v>0</v>
      </c>
      <c r="E68" s="103" t="s">
        <v>79</v>
      </c>
      <c r="F68" s="103" t="s">
        <v>79</v>
      </c>
      <c r="G68" s="103" t="s">
        <v>79</v>
      </c>
      <c r="H68" s="103" t="s">
        <v>79</v>
      </c>
      <c r="I68" s="103" t="s">
        <v>79</v>
      </c>
      <c r="J68" s="65">
        <f t="shared" si="8"/>
        <v>0</v>
      </c>
      <c r="K68" s="60" t="str">
        <f t="shared" si="7"/>
        <v/>
      </c>
      <c r="L68" s="37"/>
      <c r="M68" s="37"/>
      <c r="N68" s="37"/>
      <c r="O68" s="37"/>
      <c r="P68" s="37"/>
    </row>
    <row r="69" spans="2:16" ht="56.25" x14ac:dyDescent="0.2">
      <c r="B69" s="63" t="s">
        <v>73</v>
      </c>
      <c r="C69" s="64">
        <f>312190720.75</f>
        <v>312190720.75</v>
      </c>
      <c r="D69" s="64">
        <f>931281575.38</f>
        <v>931281575.38</v>
      </c>
      <c r="E69" s="103" t="s">
        <v>79</v>
      </c>
      <c r="F69" s="103" t="s">
        <v>79</v>
      </c>
      <c r="G69" s="103" t="s">
        <v>79</v>
      </c>
      <c r="H69" s="103" t="s">
        <v>79</v>
      </c>
      <c r="I69" s="103" t="s">
        <v>79</v>
      </c>
      <c r="J69" s="65">
        <f t="shared" si="8"/>
        <v>84.366774404302987</v>
      </c>
      <c r="K69" s="60">
        <f t="shared" si="7"/>
        <v>298.30533500249783</v>
      </c>
      <c r="L69" s="37"/>
      <c r="M69" s="37"/>
      <c r="N69" s="37"/>
      <c r="O69" s="37"/>
      <c r="P69" s="37"/>
    </row>
    <row r="70" spans="2:16" ht="35.25" customHeight="1" x14ac:dyDescent="0.2">
      <c r="B70" s="63" t="s">
        <v>75</v>
      </c>
      <c r="C70" s="64">
        <f>32718573.03</f>
        <v>32718573.030000001</v>
      </c>
      <c r="D70" s="64">
        <f>73041446.09</f>
        <v>73041446.090000004</v>
      </c>
      <c r="E70" s="103" t="s">
        <v>79</v>
      </c>
      <c r="F70" s="103" t="s">
        <v>79</v>
      </c>
      <c r="G70" s="103" t="s">
        <v>79</v>
      </c>
      <c r="H70" s="103" t="s">
        <v>79</v>
      </c>
      <c r="I70" s="103" t="s">
        <v>79</v>
      </c>
      <c r="J70" s="65">
        <f t="shared" si="8"/>
        <v>6.6169796196436472</v>
      </c>
      <c r="K70" s="60">
        <f t="shared" si="7"/>
        <v>223.24153936367438</v>
      </c>
      <c r="L70" s="37"/>
      <c r="M70" s="37"/>
      <c r="N70" s="37"/>
      <c r="O70" s="37"/>
      <c r="P70" s="37"/>
    </row>
    <row r="71" spans="2:16" ht="12.75" customHeight="1" x14ac:dyDescent="0.2">
      <c r="B71" s="63" t="s">
        <v>63</v>
      </c>
      <c r="C71" s="64">
        <f>0</f>
        <v>0</v>
      </c>
      <c r="D71" s="64">
        <f>0</f>
        <v>0</v>
      </c>
      <c r="E71" s="103" t="s">
        <v>79</v>
      </c>
      <c r="F71" s="103" t="s">
        <v>79</v>
      </c>
      <c r="G71" s="103" t="s">
        <v>79</v>
      </c>
      <c r="H71" s="103" t="s">
        <v>79</v>
      </c>
      <c r="I71" s="103" t="s">
        <v>79</v>
      </c>
      <c r="J71" s="65">
        <f t="shared" si="8"/>
        <v>0</v>
      </c>
      <c r="K71" s="60" t="str">
        <f t="shared" si="7"/>
        <v/>
      </c>
      <c r="L71" s="37"/>
      <c r="M71" s="37"/>
      <c r="N71" s="37"/>
      <c r="O71" s="37"/>
      <c r="P71" s="37"/>
    </row>
    <row r="72" spans="2:16" ht="33.75" x14ac:dyDescent="0.2">
      <c r="B72" s="63" t="s">
        <v>64</v>
      </c>
      <c r="C72" s="64">
        <f>46975465.86</f>
        <v>46975465.859999999</v>
      </c>
      <c r="D72" s="64">
        <f>61941830.33</f>
        <v>61941830.329999998</v>
      </c>
      <c r="E72" s="103" t="s">
        <v>79</v>
      </c>
      <c r="F72" s="103" t="s">
        <v>79</v>
      </c>
      <c r="G72" s="103" t="s">
        <v>79</v>
      </c>
      <c r="H72" s="103" t="s">
        <v>79</v>
      </c>
      <c r="I72" s="103" t="s">
        <v>79</v>
      </c>
      <c r="J72" s="65">
        <f t="shared" si="8"/>
        <v>5.6114418708524054</v>
      </c>
      <c r="K72" s="60">
        <f t="shared" si="7"/>
        <v>131.85995965341556</v>
      </c>
      <c r="L72" s="37"/>
      <c r="M72" s="37"/>
      <c r="N72" s="37"/>
      <c r="O72" s="37"/>
      <c r="P72" s="37"/>
    </row>
    <row r="73" spans="2:16" ht="56.25" x14ac:dyDescent="0.2">
      <c r="B73" s="63" t="s">
        <v>90</v>
      </c>
      <c r="C73" s="64"/>
      <c r="D73" s="64">
        <f>0</f>
        <v>0</v>
      </c>
      <c r="E73" s="103" t="s">
        <v>79</v>
      </c>
      <c r="F73" s="103" t="s">
        <v>79</v>
      </c>
      <c r="G73" s="103" t="s">
        <v>79</v>
      </c>
      <c r="H73" s="103" t="s">
        <v>79</v>
      </c>
      <c r="I73" s="103" t="s">
        <v>79</v>
      </c>
      <c r="J73" s="65">
        <f t="shared" si="8"/>
        <v>0</v>
      </c>
      <c r="K73" s="60" t="str">
        <f>IF(C73=0,"",100*D73/C73)</f>
        <v/>
      </c>
      <c r="L73" s="37"/>
      <c r="M73" s="37"/>
      <c r="N73" s="37"/>
      <c r="O73" s="37"/>
      <c r="P73" s="37"/>
    </row>
    <row r="74" spans="2:16" x14ac:dyDescent="0.2">
      <c r="B74" s="63" t="s">
        <v>91</v>
      </c>
      <c r="C74" s="64">
        <f>5650000</f>
        <v>5650000</v>
      </c>
      <c r="D74" s="64">
        <f>5859701.18</f>
        <v>5859701.1799999997</v>
      </c>
      <c r="E74" s="103" t="s">
        <v>79</v>
      </c>
      <c r="F74" s="103" t="s">
        <v>79</v>
      </c>
      <c r="G74" s="103" t="s">
        <v>79</v>
      </c>
      <c r="H74" s="103" t="s">
        <v>79</v>
      </c>
      <c r="I74" s="103" t="s">
        <v>79</v>
      </c>
      <c r="J74" s="65">
        <f t="shared" si="8"/>
        <v>0.53084276613973358</v>
      </c>
      <c r="K74" s="60">
        <f>IF(C74=0,"",100*D74/C74)</f>
        <v>103.71152530973451</v>
      </c>
      <c r="L74" s="37"/>
      <c r="M74" s="37"/>
      <c r="N74" s="37"/>
      <c r="O74" s="37"/>
      <c r="P74" s="37"/>
    </row>
    <row r="75" spans="2:16" ht="22.5" x14ac:dyDescent="0.2">
      <c r="B75" s="109" t="s">
        <v>92</v>
      </c>
      <c r="C75" s="64">
        <f>5500000</f>
        <v>5500000</v>
      </c>
      <c r="D75" s="64">
        <f>5500000</f>
        <v>5500000</v>
      </c>
      <c r="E75" s="103" t="s">
        <v>79</v>
      </c>
      <c r="F75" s="103" t="s">
        <v>79</v>
      </c>
      <c r="G75" s="103" t="s">
        <v>79</v>
      </c>
      <c r="H75" s="103" t="s">
        <v>79</v>
      </c>
      <c r="I75" s="103" t="s">
        <v>79</v>
      </c>
      <c r="J75" s="65">
        <f t="shared" si="8"/>
        <v>0.49825667283745939</v>
      </c>
      <c r="K75" s="60">
        <f t="shared" si="7"/>
        <v>100</v>
      </c>
      <c r="L75" s="37"/>
      <c r="M75" s="37"/>
      <c r="N75" s="37"/>
      <c r="O75" s="37"/>
      <c r="P75" s="37"/>
    </row>
    <row r="76" spans="2:16" ht="27" customHeight="1" x14ac:dyDescent="0.2">
      <c r="B76" s="106" t="s">
        <v>32</v>
      </c>
      <c r="C76" s="31">
        <f>65675221.71</f>
        <v>65675221.710000001</v>
      </c>
      <c r="D76" s="31">
        <f>58567361.31</f>
        <v>58567361.310000002</v>
      </c>
      <c r="E76" s="104" t="s">
        <v>79</v>
      </c>
      <c r="F76" s="104" t="s">
        <v>79</v>
      </c>
      <c r="G76" s="104" t="s">
        <v>79</v>
      </c>
      <c r="H76" s="104" t="s">
        <v>79</v>
      </c>
      <c r="I76" s="104" t="s">
        <v>79</v>
      </c>
      <c r="J76" s="25">
        <f t="shared" ref="J76:J81" si="9">IF($D$76=0,"",100*$D76/$D$76)</f>
        <v>100</v>
      </c>
      <c r="K76" s="21">
        <f t="shared" si="7"/>
        <v>89.177257091896919</v>
      </c>
      <c r="L76" s="37"/>
      <c r="M76" s="37"/>
      <c r="N76" s="37"/>
      <c r="O76" s="37"/>
      <c r="P76" s="37"/>
    </row>
    <row r="77" spans="2:16" ht="22.5" x14ac:dyDescent="0.2">
      <c r="B77" s="108" t="s">
        <v>65</v>
      </c>
      <c r="C77" s="28">
        <f>41477728.2</f>
        <v>41477728.200000003</v>
      </c>
      <c r="D77" s="30">
        <f>39677727.72</f>
        <v>39677727.719999999</v>
      </c>
      <c r="E77" s="105" t="s">
        <v>79</v>
      </c>
      <c r="F77" s="105" t="s">
        <v>79</v>
      </c>
      <c r="G77" s="105" t="s">
        <v>79</v>
      </c>
      <c r="H77" s="105" t="s">
        <v>79</v>
      </c>
      <c r="I77" s="105" t="s">
        <v>79</v>
      </c>
      <c r="J77" s="32">
        <f t="shared" si="9"/>
        <v>67.747166395261999</v>
      </c>
      <c r="K77" s="33">
        <f t="shared" si="7"/>
        <v>95.660320470492877</v>
      </c>
      <c r="L77" s="37"/>
      <c r="M77" s="37"/>
      <c r="N77" s="37"/>
      <c r="O77" s="37"/>
      <c r="P77" s="37"/>
    </row>
    <row r="78" spans="2:16" ht="12.75" customHeight="1" x14ac:dyDescent="0.2">
      <c r="B78" s="109" t="s">
        <v>66</v>
      </c>
      <c r="C78" s="64">
        <f>0</f>
        <v>0</v>
      </c>
      <c r="D78" s="64">
        <f>0</f>
        <v>0</v>
      </c>
      <c r="E78" s="105" t="s">
        <v>79</v>
      </c>
      <c r="F78" s="105" t="s">
        <v>79</v>
      </c>
      <c r="G78" s="105" t="s">
        <v>79</v>
      </c>
      <c r="H78" s="105" t="s">
        <v>79</v>
      </c>
      <c r="I78" s="105" t="s">
        <v>79</v>
      </c>
      <c r="J78" s="65">
        <f t="shared" si="9"/>
        <v>0</v>
      </c>
      <c r="K78" s="60" t="str">
        <f t="shared" si="7"/>
        <v/>
      </c>
      <c r="L78" s="37"/>
      <c r="M78" s="37"/>
      <c r="N78" s="37"/>
      <c r="O78" s="37"/>
      <c r="P78" s="37"/>
    </row>
    <row r="79" spans="2:16" ht="12.75" customHeight="1" x14ac:dyDescent="0.2">
      <c r="B79" s="63" t="s">
        <v>74</v>
      </c>
      <c r="C79" s="64">
        <f>0</f>
        <v>0</v>
      </c>
      <c r="D79" s="64">
        <f>0</f>
        <v>0</v>
      </c>
      <c r="E79" s="105" t="s">
        <v>79</v>
      </c>
      <c r="F79" s="105" t="s">
        <v>79</v>
      </c>
      <c r="G79" s="105" t="s">
        <v>79</v>
      </c>
      <c r="H79" s="105" t="s">
        <v>79</v>
      </c>
      <c r="I79" s="105" t="s">
        <v>79</v>
      </c>
      <c r="J79" s="65">
        <f t="shared" si="9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93</v>
      </c>
      <c r="C80" s="64">
        <f>24197493.51</f>
        <v>24197493.510000002</v>
      </c>
      <c r="D80" s="64">
        <f>18889633.59</f>
        <v>18889633.59</v>
      </c>
      <c r="E80" s="105" t="s">
        <v>79</v>
      </c>
      <c r="F80" s="105" t="s">
        <v>79</v>
      </c>
      <c r="G80" s="105" t="s">
        <v>79</v>
      </c>
      <c r="H80" s="105" t="s">
        <v>79</v>
      </c>
      <c r="I80" s="105" t="s">
        <v>79</v>
      </c>
      <c r="J80" s="65">
        <f t="shared" si="9"/>
        <v>32.252833604737994</v>
      </c>
      <c r="K80" s="60">
        <f>IF(C80=0,"",100*D80/C80)</f>
        <v>78.064422590685098</v>
      </c>
      <c r="L80" s="37"/>
      <c r="M80" s="37"/>
      <c r="N80" s="37"/>
      <c r="O80" s="37"/>
      <c r="P80" s="37"/>
    </row>
    <row r="81" spans="2:16" ht="22.5" x14ac:dyDescent="0.2">
      <c r="B81" s="109" t="s">
        <v>94</v>
      </c>
      <c r="C81" s="64">
        <f>9699680.27</f>
        <v>9699680.2699999996</v>
      </c>
      <c r="D81" s="64">
        <f>5273221.55</f>
        <v>5273221.55</v>
      </c>
      <c r="E81" s="105" t="s">
        <v>79</v>
      </c>
      <c r="F81" s="105" t="s">
        <v>79</v>
      </c>
      <c r="G81" s="105" t="s">
        <v>79</v>
      </c>
      <c r="H81" s="105" t="s">
        <v>79</v>
      </c>
      <c r="I81" s="105" t="s">
        <v>79</v>
      </c>
      <c r="J81" s="65">
        <f t="shared" si="9"/>
        <v>9.0036864083539161</v>
      </c>
      <c r="K81" s="60">
        <f>IF(C81=0,"",100*D81/C81)</f>
        <v>54.364900730898015</v>
      </c>
      <c r="L81" s="37"/>
      <c r="M81" s="37"/>
      <c r="N81" s="37"/>
      <c r="O81" s="37"/>
      <c r="P81" s="37"/>
    </row>
    <row r="82" spans="2:16" x14ac:dyDescent="0.2">
      <c r="B82" s="22"/>
      <c r="C82" s="22"/>
      <c r="D82" s="22"/>
      <c r="E82" s="22"/>
      <c r="F82" s="22"/>
      <c r="G82" s="22"/>
      <c r="H82" s="22"/>
      <c r="I82" s="37"/>
      <c r="J82" s="37"/>
      <c r="K82" s="37"/>
      <c r="L82" s="37"/>
      <c r="M82" s="37"/>
    </row>
    <row r="83" spans="2:16" x14ac:dyDescent="0.2">
      <c r="B83" s="44" t="s">
        <v>16</v>
      </c>
      <c r="C83" s="70" t="s">
        <v>17</v>
      </c>
      <c r="D83" s="13" t="s">
        <v>1</v>
      </c>
      <c r="E83" s="37"/>
      <c r="F83" s="37"/>
      <c r="G83" s="37"/>
      <c r="H83" s="37"/>
      <c r="I83" s="37"/>
    </row>
    <row r="84" spans="2:16" x14ac:dyDescent="0.2">
      <c r="B84" s="44"/>
      <c r="C84" s="123" t="s">
        <v>40</v>
      </c>
      <c r="D84" s="124"/>
      <c r="E84" s="37"/>
      <c r="F84" s="37"/>
      <c r="G84" s="37"/>
      <c r="H84" s="37"/>
      <c r="I84" s="37"/>
    </row>
    <row r="85" spans="2:16" x14ac:dyDescent="0.2">
      <c r="B85" s="23">
        <v>1</v>
      </c>
      <c r="C85" s="26">
        <v>2</v>
      </c>
      <c r="D85" s="24">
        <v>3</v>
      </c>
      <c r="E85" s="37"/>
      <c r="F85" s="37"/>
      <c r="G85" s="37"/>
      <c r="H85" s="37"/>
      <c r="I85" s="37"/>
    </row>
    <row r="86" spans="2:16" ht="36.75" customHeight="1" x14ac:dyDescent="0.2">
      <c r="B86" s="107" t="s">
        <v>89</v>
      </c>
      <c r="C86" s="29">
        <f>390577241.29</f>
        <v>390577241.29000002</v>
      </c>
      <c r="D86" s="85">
        <f>51103011.5</f>
        <v>51103011.5</v>
      </c>
      <c r="E86" s="37"/>
      <c r="F86" s="37"/>
      <c r="G86" s="37"/>
      <c r="H86" s="37"/>
      <c r="I86" s="37"/>
    </row>
    <row r="87" spans="2:16" ht="36" customHeight="1" x14ac:dyDescent="0.2">
      <c r="B87" s="110" t="s">
        <v>42</v>
      </c>
      <c r="C87" s="30">
        <f>14070000</f>
        <v>14070000</v>
      </c>
      <c r="D87" s="84">
        <f>11628719.06</f>
        <v>11628719.060000001</v>
      </c>
      <c r="E87" s="37"/>
      <c r="F87" s="37"/>
      <c r="G87" s="37"/>
      <c r="H87" s="37"/>
      <c r="I87" s="37"/>
    </row>
    <row r="88" spans="2:16" ht="12.75" customHeight="1" x14ac:dyDescent="0.2">
      <c r="B88" s="110" t="s">
        <v>43</v>
      </c>
      <c r="C88" s="30">
        <f>18274917.58</f>
        <v>18274917.579999998</v>
      </c>
      <c r="D88" s="84">
        <f>2041982.09</f>
        <v>2041982.09</v>
      </c>
      <c r="E88" s="37"/>
      <c r="F88" s="37"/>
      <c r="G88" s="37"/>
      <c r="H88" s="37"/>
      <c r="I88" s="37"/>
    </row>
    <row r="89" spans="2:16" ht="25.5" customHeight="1" x14ac:dyDescent="0.2">
      <c r="B89" s="110" t="s">
        <v>44</v>
      </c>
      <c r="C89" s="30">
        <f>0</f>
        <v>0</v>
      </c>
      <c r="D89" s="84">
        <f>0</f>
        <v>0</v>
      </c>
      <c r="E89" s="37"/>
      <c r="F89" s="37"/>
      <c r="G89" s="37"/>
      <c r="H89" s="37"/>
      <c r="I89" s="37"/>
    </row>
    <row r="90" spans="2:16" ht="57.75" customHeight="1" x14ac:dyDescent="0.2">
      <c r="B90" s="110" t="s">
        <v>76</v>
      </c>
      <c r="C90" s="30">
        <f>309677950.19</f>
        <v>309677950.19</v>
      </c>
      <c r="D90" s="84">
        <f>31883193.01</f>
        <v>31883193.010000002</v>
      </c>
      <c r="E90" s="37"/>
      <c r="F90" s="37"/>
      <c r="G90" s="37"/>
      <c r="H90" s="37"/>
      <c r="I90" s="37"/>
    </row>
    <row r="91" spans="2:16" ht="84" customHeight="1" x14ac:dyDescent="0.2">
      <c r="B91" s="110" t="s">
        <v>45</v>
      </c>
      <c r="C91" s="30">
        <f>21378173.19</f>
        <v>21378173.190000001</v>
      </c>
      <c r="D91" s="84">
        <f>2967017.7</f>
        <v>2967017.7</v>
      </c>
      <c r="E91" s="37"/>
      <c r="F91" s="37"/>
      <c r="G91" s="37"/>
      <c r="H91" s="37"/>
      <c r="I91" s="37"/>
    </row>
    <row r="92" spans="2:16" ht="149.25" customHeight="1" x14ac:dyDescent="0.2">
      <c r="B92" s="110" t="s">
        <v>77</v>
      </c>
      <c r="C92" s="30">
        <f>21937630.33</f>
        <v>21937630.329999998</v>
      </c>
      <c r="D92" s="84">
        <f>2582099.64</f>
        <v>2582099.64</v>
      </c>
      <c r="E92" s="37"/>
      <c r="F92" s="37"/>
      <c r="G92" s="37"/>
      <c r="H92" s="37"/>
      <c r="I92" s="37"/>
    </row>
    <row r="93" spans="2:16" ht="24" customHeight="1" x14ac:dyDescent="0.2">
      <c r="B93" s="110" t="s">
        <v>78</v>
      </c>
      <c r="C93" s="30">
        <f>0</f>
        <v>0</v>
      </c>
      <c r="D93" s="84">
        <f>0</f>
        <v>0</v>
      </c>
      <c r="E93" s="37"/>
      <c r="F93" s="37"/>
      <c r="G93" s="37"/>
      <c r="H93" s="37"/>
      <c r="I93" s="37"/>
    </row>
    <row r="94" spans="2:16" ht="24" customHeight="1" x14ac:dyDescent="0.2">
      <c r="B94" s="110" t="s">
        <v>92</v>
      </c>
      <c r="C94" s="30">
        <f>5238570</f>
        <v>5238570</v>
      </c>
      <c r="D94" s="84">
        <f>0</f>
        <v>0</v>
      </c>
      <c r="E94" s="37"/>
      <c r="F94" s="37"/>
      <c r="G94" s="37"/>
      <c r="H94" s="37"/>
      <c r="I94" s="37"/>
    </row>
    <row r="95" spans="2:16" ht="13.5" customHeight="1" x14ac:dyDescent="0.2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spans="2:16" x14ac:dyDescent="0.2">
      <c r="B96" s="116" t="s">
        <v>33</v>
      </c>
      <c r="C96" s="114">
        <f>4</f>
        <v>4</v>
      </c>
      <c r="D96" s="114" t="str">
        <f>IF(C96=1,"I Kwartał",IF(C96=2,"II Kwartały",IF(C96=3,"III Kwartały",IF(C96=4,"IV Kwartały",IF(C96="M1","Styczeń",IF(C96="M11","Listopad",IF(C96="M12","Grudzień","-")))))))</f>
        <v>IV Kwartały</v>
      </c>
      <c r="E96" s="37"/>
      <c r="F96" s="37"/>
      <c r="G96" s="37"/>
      <c r="H96" s="37"/>
      <c r="I96" s="37"/>
      <c r="J96" s="37"/>
      <c r="K96" s="37"/>
      <c r="L96" s="37"/>
      <c r="M96" s="37"/>
    </row>
    <row r="97" spans="2:13" ht="11.25" customHeight="1" x14ac:dyDescent="0.2">
      <c r="B97" s="116" t="s">
        <v>34</v>
      </c>
      <c r="C97" s="115">
        <f>2024</f>
        <v>2024</v>
      </c>
      <c r="D97" s="36"/>
      <c r="E97" s="37"/>
      <c r="F97" s="37"/>
      <c r="G97" s="37"/>
      <c r="H97" s="37"/>
      <c r="I97" s="37"/>
      <c r="J97" s="37"/>
      <c r="K97" s="37"/>
      <c r="L97" s="37"/>
      <c r="M97" s="37"/>
    </row>
    <row r="98" spans="2:13" ht="10.5" customHeight="1" x14ac:dyDescent="0.2">
      <c r="B98" s="116" t="s">
        <v>35</v>
      </c>
      <c r="C98" s="138" t="str">
        <f>"Mar 18 2025 12:00AM"</f>
        <v>Mar 18 2025 12:00AM</v>
      </c>
      <c r="D98" s="139"/>
      <c r="E98" s="37"/>
      <c r="F98" s="37"/>
      <c r="G98" s="37"/>
      <c r="H98" s="37"/>
      <c r="I98" s="37"/>
      <c r="J98" s="37"/>
      <c r="K98" s="37"/>
      <c r="L98" s="37"/>
      <c r="M98" s="37"/>
    </row>
    <row r="99" spans="2:13" hidden="1" x14ac:dyDescent="0.2">
      <c r="B99" s="1" t="s">
        <v>88</v>
      </c>
      <c r="C99" s="118" t="s">
        <v>95</v>
      </c>
    </row>
  </sheetData>
  <mergeCells count="22">
    <mergeCell ref="C98:D98"/>
    <mergeCell ref="E62:I64"/>
    <mergeCell ref="K44:K46"/>
    <mergeCell ref="B44:B47"/>
    <mergeCell ref="I44:I46"/>
    <mergeCell ref="J44:J46"/>
    <mergeCell ref="D44:D46"/>
    <mergeCell ref="J63:K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63:D63"/>
    <mergeCell ref="C84:D84"/>
    <mergeCell ref="C47:I47"/>
    <mergeCell ref="E4:I5"/>
    <mergeCell ref="C4:D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1" man="1"/>
    <brk id="40" max="11" man="1"/>
    <brk id="60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2017-03-30T12:13:25Z</cp:lastPrinted>
  <dcterms:created xsi:type="dcterms:W3CDTF">2001-05-17T08:58:03Z</dcterms:created>
  <dcterms:modified xsi:type="dcterms:W3CDTF">2025-03-28T13:25:51Z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2025-03-28T14:25:50.4785771+01:00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GRN-8c627e6d-7bf7-43b2-a05a-1dbfc7522008</vt:lpwstr>
  </property>
  <property fmtid="{D5CDD505-2E9C-101B-9397-08002B2CF9AE}" pid="7" name="MFHash">
    <vt:lpwstr>/7R9J58/RpK0AqiqnsU2OdJUOx4vnQmQzoiPes8Rxec=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