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EB3655F3-F375-4E8D-A7E2-9EBFC13F7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30" i="7" l="1"/>
  <c r="A86" i="7"/>
  <c r="A1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<sst xmlns="http://schemas.openxmlformats.org/spreadsheetml/2006/main" count="93" uniqueCount="79">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</sst>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IV Kwartały 2025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115537395847.4</f>
        <v>115537395847.39999</v>
      </c>
      <c r="C13" s="21">
        <f>91568635564.92</f>
        <v>91568635564.919998</v>
      </c>
      <c r="D13" s="21">
        <f>3539048749.25</f>
        <v>3539048749.25</v>
      </c>
      <c r="E13" s="21">
        <f>1136076010.38</f>
        <v>1136076010.3800001</v>
      </c>
      <c r="F13" s="21">
        <f>622497441.23</f>
        <v>622497441.23000002</v>
      </c>
      <c r="G13" s="21">
        <f>1778254541.4</f>
        <v>1778254541.4000001</v>
      </c>
      <c r="H13" s="21">
        <f>2220756.24</f>
        <v>2220756.2400000002</v>
      </c>
      <c r="I13" s="21">
        <f>0</f>
        <v>0</v>
      </c>
      <c r="J13" s="21">
        <f>83709103598.87</f>
        <v>83709103598.869995</v>
      </c>
      <c r="K13" s="21">
        <f>3296649376.8</f>
        <v>3296649376.8000002</v>
      </c>
      <c r="L13" s="21">
        <f>980183857.59</f>
        <v>980183857.59000003</v>
      </c>
      <c r="M13" s="21">
        <f>29058788.48</f>
        <v>29058788.48</v>
      </c>
      <c r="N13" s="21">
        <f>14591193.93</f>
        <v>14591193.93</v>
      </c>
      <c r="O13" s="21">
        <f>23968760282.48</f>
        <v>23968760282.48</v>
      </c>
      <c r="P13" s="21">
        <f>23968759244.71</f>
        <v>23968759244.709999</v>
      </c>
      <c r="Q13" s="21">
        <f>1037.77</f>
        <v>1037.77</v>
      </c>
    </row>
    <row r="14" spans="1:17" ht="41.25" customHeight="1" x14ac:dyDescent="0.2">
      <c r="A14" s="19" t="s">
        <v>75</v>
      </c>
      <c r="B14" s="21">
        <f>9473873000</f>
        <v>9473873000</v>
      </c>
      <c r="C14" s="21">
        <f>9473873000</f>
        <v>9473873000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9281323000</f>
        <v>9281323000</v>
      </c>
      <c r="K14" s="21">
        <f>192550000</f>
        <v>192550000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650000</f>
        <v>650000</v>
      </c>
      <c r="C15" s="22">
        <f>650000</f>
        <v>650000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650000</f>
        <v>650000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9473223000</f>
        <v>9473223000</v>
      </c>
      <c r="C16" s="22">
        <f>9473223000</f>
        <v>9473223000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9281323000</f>
        <v>9281323000</v>
      </c>
      <c r="K16" s="22">
        <f>191900000</f>
        <v>191900000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106000653040.41</f>
        <v>106000653040.41</v>
      </c>
      <c r="C17" s="21">
        <f>82031893795.7</f>
        <v>82031893795.699997</v>
      </c>
      <c r="D17" s="21">
        <f>3515623732.95</f>
        <v>3515623732.9499998</v>
      </c>
      <c r="E17" s="21">
        <f>1135559085.19</f>
        <v>1135559085.1900001</v>
      </c>
      <c r="F17" s="21">
        <f>622466416.3</f>
        <v>622466416.29999995</v>
      </c>
      <c r="G17" s="21">
        <f>1757598231.46</f>
        <v>1757598231.46</v>
      </c>
      <c r="H17" s="21">
        <f>0</f>
        <v>0</v>
      </c>
      <c r="I17" s="21">
        <f>0</f>
        <v>0</v>
      </c>
      <c r="J17" s="21">
        <f>74427723487.69</f>
        <v>74427723487.690002</v>
      </c>
      <c r="K17" s="21">
        <f>3104037818.1</f>
        <v>3104037818.0999999</v>
      </c>
      <c r="L17" s="21">
        <f>954248212.67</f>
        <v>954248212.66999996</v>
      </c>
      <c r="M17" s="21">
        <f>17469051.95</f>
        <v>17469051.949999999</v>
      </c>
      <c r="N17" s="21">
        <f>12791492.34</f>
        <v>12791492.34</v>
      </c>
      <c r="O17" s="21">
        <f>23968759244.71</f>
        <v>23968759244.709999</v>
      </c>
      <c r="P17" s="21">
        <f>23968759244.71</f>
        <v>23968759244.709999</v>
      </c>
      <c r="Q17" s="21">
        <f>0</f>
        <v>0</v>
      </c>
    </row>
    <row r="18" spans="1:17" ht="22.5" x14ac:dyDescent="0.2">
      <c r="A18" s="16" t="s">
        <v>48</v>
      </c>
      <c r="B18" s="22">
        <f>133917060.59</f>
        <v>133917060.59</v>
      </c>
      <c r="C18" s="22">
        <f>133917060.59</f>
        <v>133917060.59</v>
      </c>
      <c r="D18" s="22">
        <f>11599588.89</f>
        <v>11599588.890000001</v>
      </c>
      <c r="E18" s="22">
        <f>3439306.09</f>
        <v>3439306.09</v>
      </c>
      <c r="F18" s="22">
        <f>142180.17</f>
        <v>142180.17000000001</v>
      </c>
      <c r="G18" s="22">
        <f>8018102.63</f>
        <v>8018102.6299999999</v>
      </c>
      <c r="H18" s="22">
        <f>0</f>
        <v>0</v>
      </c>
      <c r="I18" s="22">
        <f>0</f>
        <v>0</v>
      </c>
      <c r="J18" s="22">
        <f>102083814.42</f>
        <v>102083814.42</v>
      </c>
      <c r="K18" s="22">
        <f>1400000</f>
        <v>1400000</v>
      </c>
      <c r="L18" s="22">
        <f>17157075.4</f>
        <v>17157075.399999999</v>
      </c>
      <c r="M18" s="22">
        <f>1596581.88</f>
        <v>1596581.88</v>
      </c>
      <c r="N18" s="22">
        <f>80000</f>
        <v>80000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105866735979.82</f>
        <v>105866735979.82001</v>
      </c>
      <c r="C19" s="22">
        <f>81897976735.11</f>
        <v>81897976735.110001</v>
      </c>
      <c r="D19" s="22">
        <f>3504024144.06</f>
        <v>3504024144.0599999</v>
      </c>
      <c r="E19" s="22">
        <f>1132119779.1</f>
        <v>1132119779.0999999</v>
      </c>
      <c r="F19" s="22">
        <f>622324236.13</f>
        <v>622324236.13</v>
      </c>
      <c r="G19" s="22">
        <f>1749580128.83</f>
        <v>1749580128.8299999</v>
      </c>
      <c r="H19" s="22">
        <f>0</f>
        <v>0</v>
      </c>
      <c r="I19" s="22">
        <f>0</f>
        <v>0</v>
      </c>
      <c r="J19" s="22">
        <f>74325639673.27</f>
        <v>74325639673.270004</v>
      </c>
      <c r="K19" s="22">
        <f>3102637818.1</f>
        <v>3102637818.0999999</v>
      </c>
      <c r="L19" s="22">
        <f>937091137.27</f>
        <v>937091137.26999998</v>
      </c>
      <c r="M19" s="22">
        <f>15872470.07</f>
        <v>15872470.07</v>
      </c>
      <c r="N19" s="22">
        <f>12711492.34</f>
        <v>12711492.34</v>
      </c>
      <c r="O19" s="22">
        <f>23968759244.71</f>
        <v>23968759244.709999</v>
      </c>
      <c r="P19" s="22">
        <f>23968759244.71</f>
        <v>23968759244.709999</v>
      </c>
      <c r="Q19" s="22">
        <f>0</f>
        <v>0</v>
      </c>
    </row>
    <row r="20" spans="1:17" ht="24.75" customHeight="1" x14ac:dyDescent="0.2">
      <c r="A20" s="26" t="s">
        <v>50</v>
      </c>
      <c r="B20" s="27">
        <f>11500000</f>
        <v>11500000</v>
      </c>
      <c r="C20" s="27">
        <f>11500000</f>
        <v>11500000</v>
      </c>
      <c r="D20" s="27">
        <f>11500000</f>
        <v>11500000</v>
      </c>
      <c r="E20" s="27">
        <f>0</f>
        <v>0</v>
      </c>
      <c r="F20" s="27">
        <f>0</f>
        <v>0</v>
      </c>
      <c r="G20" s="27">
        <f>11500000</f>
        <v>11500000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51369806.99</f>
        <v>51369806.990000002</v>
      </c>
      <c r="C21" s="21">
        <f>51368769.22</f>
        <v>51368769.219999999</v>
      </c>
      <c r="D21" s="21">
        <f>11925016.3</f>
        <v>11925016.300000001</v>
      </c>
      <c r="E21" s="21">
        <f>516925.19</f>
        <v>516925.19</v>
      </c>
      <c r="F21" s="21">
        <f>31024.93</f>
        <v>31024.93</v>
      </c>
      <c r="G21" s="21">
        <f>9156309.94</f>
        <v>9156309.9399999995</v>
      </c>
      <c r="H21" s="21">
        <f>2220756.24</f>
        <v>2220756.2400000002</v>
      </c>
      <c r="I21" s="21">
        <f>0</f>
        <v>0</v>
      </c>
      <c r="J21" s="21">
        <f>57111.18</f>
        <v>57111.18</v>
      </c>
      <c r="K21" s="21">
        <f>61558.7</f>
        <v>61558.7</v>
      </c>
      <c r="L21" s="21">
        <f>25935644.92</f>
        <v>25935644.920000002</v>
      </c>
      <c r="M21" s="21">
        <f>11589736.53</f>
        <v>11589736.529999999</v>
      </c>
      <c r="N21" s="21">
        <f>1799701.59</f>
        <v>1799701.59</v>
      </c>
      <c r="O21" s="21">
        <f>1037.77</f>
        <v>1037.77</v>
      </c>
      <c r="P21" s="21">
        <f>0</f>
        <v>0</v>
      </c>
      <c r="Q21" s="21">
        <f>1037.77</f>
        <v>1037.77</v>
      </c>
    </row>
    <row r="22" spans="1:17" ht="33" customHeight="1" x14ac:dyDescent="0.2">
      <c r="A22" s="17" t="s">
        <v>51</v>
      </c>
      <c r="B22" s="22">
        <f>26466856.7</f>
        <v>26466856.699999999</v>
      </c>
      <c r="C22" s="22">
        <f>26466856.7</f>
        <v>26466856.699999999</v>
      </c>
      <c r="D22" s="22">
        <f>969880.47</f>
        <v>969880.47</v>
      </c>
      <c r="E22" s="22">
        <f>550.7</f>
        <v>550.70000000000005</v>
      </c>
      <c r="F22" s="22">
        <f>6933.98</f>
        <v>6933.98</v>
      </c>
      <c r="G22" s="22">
        <f>962395.79</f>
        <v>962395.79</v>
      </c>
      <c r="H22" s="22">
        <f>0</f>
        <v>0</v>
      </c>
      <c r="I22" s="22">
        <f>0</f>
        <v>0</v>
      </c>
      <c r="J22" s="22">
        <f>100</f>
        <v>100</v>
      </c>
      <c r="K22" s="22">
        <f>750.02</f>
        <v>750.02</v>
      </c>
      <c r="L22" s="22">
        <f>17522720.46</f>
        <v>17522720.460000001</v>
      </c>
      <c r="M22" s="22">
        <f>6205670.01</f>
        <v>6205670.0099999998</v>
      </c>
      <c r="N22" s="22">
        <f>1767735.74</f>
        <v>1767735.74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24902950.29</f>
        <v>24902950.289999999</v>
      </c>
      <c r="C23" s="22">
        <f>24901912.52</f>
        <v>24901912.52</v>
      </c>
      <c r="D23" s="22">
        <f>10955135.83</f>
        <v>10955135.83</v>
      </c>
      <c r="E23" s="22">
        <f>516374.49</f>
        <v>516374.49</v>
      </c>
      <c r="F23" s="22">
        <f>24090.95</f>
        <v>24090.95</v>
      </c>
      <c r="G23" s="22">
        <f>8193914.15</f>
        <v>8193914.1500000004</v>
      </c>
      <c r="H23" s="22">
        <f>2220756.24</f>
        <v>2220756.2400000002</v>
      </c>
      <c r="I23" s="22">
        <f>0</f>
        <v>0</v>
      </c>
      <c r="J23" s="22">
        <f>57011.18</f>
        <v>57011.18</v>
      </c>
      <c r="K23" s="22">
        <f>60808.68</f>
        <v>60808.68</v>
      </c>
      <c r="L23" s="22">
        <f>8412924.46</f>
        <v>8412924.4600000009</v>
      </c>
      <c r="M23" s="22">
        <f>5384066.52</f>
        <v>5384066.5199999996</v>
      </c>
      <c r="N23" s="22">
        <f>31965.85</f>
        <v>31965.85</v>
      </c>
      <c r="O23" s="22">
        <f>1037.77</f>
        <v>1037.77</v>
      </c>
      <c r="P23" s="22">
        <f>0</f>
        <v>0</v>
      </c>
      <c r="Q23" s="22">
        <f>1037.77</f>
        <v>1037.77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IV Kwartały 2025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70050013.13</f>
        <v>70050013.129999995</v>
      </c>
      <c r="C40" s="23">
        <f>70050013.13</f>
        <v>70050013.129999995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69878205.9</f>
        <v>69878205.900000006</v>
      </c>
      <c r="K40" s="23">
        <f>0</f>
        <v>0</v>
      </c>
      <c r="L40" s="23">
        <f>158207.23</f>
        <v>158207.23000000001</v>
      </c>
      <c r="M40" s="23">
        <f>0</f>
        <v>0</v>
      </c>
      <c r="N40" s="23">
        <f>13600</f>
        <v>13600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70050013.13</f>
        <v>70050013.129999995</v>
      </c>
      <c r="C42" s="24">
        <f>70050013.13</f>
        <v>70050013.129999995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69878205.9</f>
        <v>69878205.900000006</v>
      </c>
      <c r="K42" s="24">
        <f>0</f>
        <v>0</v>
      </c>
      <c r="L42" s="24">
        <f>158207.23</f>
        <v>158207.23000000001</v>
      </c>
      <c r="M42" s="24">
        <f>0</f>
        <v>0</v>
      </c>
      <c r="N42" s="24">
        <f>13600</f>
        <v>13600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1925427226.8</f>
        <v>1925427226.8</v>
      </c>
      <c r="C43" s="23">
        <f>1925412065.05</f>
        <v>1925412065.05</v>
      </c>
      <c r="D43" s="23">
        <f>1184982659.9</f>
        <v>1184982659.9000001</v>
      </c>
      <c r="E43" s="23">
        <f>7513499.54</f>
        <v>7513499.54</v>
      </c>
      <c r="F43" s="23">
        <f>14875233.15</f>
        <v>14875233.15</v>
      </c>
      <c r="G43" s="23">
        <f>1158244427.21</f>
        <v>1158244427.21</v>
      </c>
      <c r="H43" s="23">
        <f>4349500</f>
        <v>4349500</v>
      </c>
      <c r="I43" s="23">
        <f>0</f>
        <v>0</v>
      </c>
      <c r="J43" s="23">
        <f>71537.72</f>
        <v>71537.72</v>
      </c>
      <c r="K43" s="23">
        <f>84030.5</f>
        <v>84030.5</v>
      </c>
      <c r="L43" s="23">
        <f>427101533.35</f>
        <v>427101533.35000002</v>
      </c>
      <c r="M43" s="23">
        <f>279123043.86</f>
        <v>279123043.86000001</v>
      </c>
      <c r="N43" s="23">
        <f>34049259.72</f>
        <v>34049259.719999999</v>
      </c>
      <c r="O43" s="23">
        <f>15161.75</f>
        <v>15161.75</v>
      </c>
      <c r="P43" s="23">
        <f>15161.75</f>
        <v>15161.75</v>
      </c>
      <c r="Q43" s="23">
        <f>0</f>
        <v>0</v>
      </c>
    </row>
    <row r="44" spans="1:17" ht="32.25" customHeight="1" x14ac:dyDescent="0.2">
      <c r="A44" s="18" t="s">
        <v>31</v>
      </c>
      <c r="B44" s="24">
        <f>106041048.83</f>
        <v>106041048.83</v>
      </c>
      <c r="C44" s="24">
        <f>106039986.3</f>
        <v>106039986.3</v>
      </c>
      <c r="D44" s="24">
        <f>58084667.63</f>
        <v>58084667.630000003</v>
      </c>
      <c r="E44" s="24">
        <f>4005822</f>
        <v>4005822</v>
      </c>
      <c r="F44" s="24">
        <f>0</f>
        <v>0</v>
      </c>
      <c r="G44" s="24">
        <f>49729345.63</f>
        <v>49729345.630000003</v>
      </c>
      <c r="H44" s="24">
        <f>4349500</f>
        <v>4349500</v>
      </c>
      <c r="I44" s="24">
        <f>0</f>
        <v>0</v>
      </c>
      <c r="J44" s="24">
        <f>0</f>
        <v>0</v>
      </c>
      <c r="K44" s="24">
        <f>0</f>
        <v>0</v>
      </c>
      <c r="L44" s="24">
        <f>21804624.87</f>
        <v>21804624.870000001</v>
      </c>
      <c r="M44" s="24">
        <f>21138242.23</f>
        <v>21138242.23</v>
      </c>
      <c r="N44" s="24">
        <f>5012451.57</f>
        <v>5012451.57</v>
      </c>
      <c r="O44" s="24">
        <f>1062.53</f>
        <v>1062.53</v>
      </c>
      <c r="P44" s="24">
        <f>1062.53</f>
        <v>1062.53</v>
      </c>
      <c r="Q44" s="24">
        <f>0</f>
        <v>0</v>
      </c>
    </row>
    <row r="45" spans="1:17" ht="32.25" customHeight="1" x14ac:dyDescent="0.2">
      <c r="A45" s="18" t="s">
        <v>32</v>
      </c>
      <c r="B45" s="24">
        <f>1819386177.97</f>
        <v>1819386177.97</v>
      </c>
      <c r="C45" s="24">
        <f>1819372078.75</f>
        <v>1819372078.75</v>
      </c>
      <c r="D45" s="24">
        <f>1126897992.27</f>
        <v>1126897992.27</v>
      </c>
      <c r="E45" s="24">
        <f>3507677.54</f>
        <v>3507677.54</v>
      </c>
      <c r="F45" s="24">
        <f>14875233.15</f>
        <v>14875233.15</v>
      </c>
      <c r="G45" s="24">
        <f>1108515081.58</f>
        <v>1108515081.5799999</v>
      </c>
      <c r="H45" s="24">
        <f>0</f>
        <v>0</v>
      </c>
      <c r="I45" s="24">
        <f>0</f>
        <v>0</v>
      </c>
      <c r="J45" s="24">
        <f>71537.72</f>
        <v>71537.72</v>
      </c>
      <c r="K45" s="24">
        <f>84030.5</f>
        <v>84030.5</v>
      </c>
      <c r="L45" s="24">
        <f>405296908.48</f>
        <v>405296908.48000002</v>
      </c>
      <c r="M45" s="24">
        <f>257984801.63</f>
        <v>257984801.63</v>
      </c>
      <c r="N45" s="24">
        <f>29036808.15</f>
        <v>29036808.149999999</v>
      </c>
      <c r="O45" s="24">
        <f>14099.22</f>
        <v>14099.22</v>
      </c>
      <c r="P45" s="24">
        <f>14099.22</f>
        <v>14099.22</v>
      </c>
      <c r="Q45" s="24">
        <f>0</f>
        <v>0</v>
      </c>
    </row>
    <row r="46" spans="1:17" ht="35.25" customHeight="1" x14ac:dyDescent="0.2">
      <c r="A46" s="28" t="s">
        <v>42</v>
      </c>
      <c r="B46" s="23">
        <f>53967264123.28</f>
        <v>53967264123.279999</v>
      </c>
      <c r="C46" s="23">
        <f>53966965048.03</f>
        <v>53966965048.029999</v>
      </c>
      <c r="D46" s="23">
        <f>28064518.32</f>
        <v>28064518.32</v>
      </c>
      <c r="E46" s="23">
        <f>22958922.24</f>
        <v>22958922.239999998</v>
      </c>
      <c r="F46" s="23">
        <f>47465.58</f>
        <v>47465.58</v>
      </c>
      <c r="G46" s="23">
        <f>5058130.5</f>
        <v>5058130.5</v>
      </c>
      <c r="H46" s="23">
        <f>0</f>
        <v>0</v>
      </c>
      <c r="I46" s="23">
        <f>8331757.04</f>
        <v>8331757.04</v>
      </c>
      <c r="J46" s="23">
        <f>53906716436.31</f>
        <v>53906716436.309998</v>
      </c>
      <c r="K46" s="23">
        <f>2656540.6</f>
        <v>2656540.6</v>
      </c>
      <c r="L46" s="23">
        <f>20912840.65</f>
        <v>20912840.649999999</v>
      </c>
      <c r="M46" s="23">
        <f>186298.98</f>
        <v>186298.98</v>
      </c>
      <c r="N46" s="23">
        <f>96656.13</f>
        <v>96656.13</v>
      </c>
      <c r="O46" s="23">
        <f>299075.25</f>
        <v>299075.25</v>
      </c>
      <c r="P46" s="23">
        <f>299075.25</f>
        <v>299075.25</v>
      </c>
      <c r="Q46" s="23">
        <f>0</f>
        <v>0</v>
      </c>
    </row>
    <row r="47" spans="1:17" ht="28.5" customHeight="1" x14ac:dyDescent="0.2">
      <c r="A47" s="18" t="s">
        <v>33</v>
      </c>
      <c r="B47" s="24">
        <f>4804728.79</f>
        <v>4804728.79</v>
      </c>
      <c r="C47" s="24">
        <f>4804728.79</f>
        <v>4804728.79</v>
      </c>
      <c r="D47" s="24">
        <f>4804728.79</f>
        <v>4804728.79</v>
      </c>
      <c r="E47" s="24">
        <f>0</f>
        <v>0</v>
      </c>
      <c r="F47" s="24">
        <f>0</f>
        <v>0</v>
      </c>
      <c r="G47" s="24">
        <f>4804728.79</f>
        <v>4804728.79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50599706757.99</f>
        <v>50599706757.989998</v>
      </c>
      <c r="C48" s="24">
        <f>50599706757.99</f>
        <v>50599706757.989998</v>
      </c>
      <c r="D48" s="24">
        <f>22574037.13</f>
        <v>22574037.129999999</v>
      </c>
      <c r="E48" s="24">
        <f>22529506.94</f>
        <v>22529506.940000001</v>
      </c>
      <c r="F48" s="24">
        <f>500</f>
        <v>500</v>
      </c>
      <c r="G48" s="24">
        <f>44030.19</f>
        <v>44030.19</v>
      </c>
      <c r="H48" s="24">
        <f>0</f>
        <v>0</v>
      </c>
      <c r="I48" s="24">
        <f>8247972.51</f>
        <v>8247972.5099999998</v>
      </c>
      <c r="J48" s="24">
        <f>50547087162.37</f>
        <v>50547087162.370003</v>
      </c>
      <c r="K48" s="24">
        <f>2654050.5</f>
        <v>2654050.5</v>
      </c>
      <c r="L48" s="24">
        <f>19038464.63</f>
        <v>19038464.629999999</v>
      </c>
      <c r="M48" s="24">
        <f>9063.63</f>
        <v>9063.6299999999992</v>
      </c>
      <c r="N48" s="24">
        <f>96007.22</f>
        <v>96007.22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3362752636.5</f>
        <v>3362752636.5</v>
      </c>
      <c r="C49" s="24">
        <f>3362453561.25</f>
        <v>3362453561.25</v>
      </c>
      <c r="D49" s="24">
        <f>685752.4</f>
        <v>685752.4</v>
      </c>
      <c r="E49" s="24">
        <f>429415.3</f>
        <v>429415.3</v>
      </c>
      <c r="F49" s="24">
        <f>46965.58</f>
        <v>46965.58</v>
      </c>
      <c r="G49" s="24">
        <f>209371.52</f>
        <v>209371.51999999999</v>
      </c>
      <c r="H49" s="24">
        <f>0</f>
        <v>0</v>
      </c>
      <c r="I49" s="24">
        <f>83784.53</f>
        <v>83784.53</v>
      </c>
      <c r="J49" s="24">
        <f>3359629273.94</f>
        <v>3359629273.9400001</v>
      </c>
      <c r="K49" s="24">
        <f>2490.1</f>
        <v>2490.1</v>
      </c>
      <c r="L49" s="24">
        <f>1874376.02</f>
        <v>1874376.02</v>
      </c>
      <c r="M49" s="24">
        <f>177235.35</f>
        <v>177235.35</v>
      </c>
      <c r="N49" s="24">
        <f>648.91</f>
        <v>648.91</v>
      </c>
      <c r="O49" s="24">
        <f>299075.25</f>
        <v>299075.25</v>
      </c>
      <c r="P49" s="24">
        <f>299075.25</f>
        <v>299075.25</v>
      </c>
      <c r="Q49" s="24">
        <f>0</f>
        <v>0</v>
      </c>
    </row>
    <row r="50" spans="1:17" ht="35.25" customHeight="1" x14ac:dyDescent="0.2">
      <c r="A50" s="28" t="s">
        <v>43</v>
      </c>
      <c r="B50" s="23">
        <f>27932552919.88</f>
        <v>27932552919.880001</v>
      </c>
      <c r="C50" s="23">
        <f>27841253003.83</f>
        <v>27841253003.830002</v>
      </c>
      <c r="D50" s="23">
        <f>464511234.72</f>
        <v>464511234.72000003</v>
      </c>
      <c r="E50" s="23">
        <f>144363583.16</f>
        <v>144363583.16</v>
      </c>
      <c r="F50" s="23">
        <f>13255339.77</f>
        <v>13255339.77</v>
      </c>
      <c r="G50" s="23">
        <f>305355849.89</f>
        <v>305355849.88999999</v>
      </c>
      <c r="H50" s="23">
        <f>1536461.9</f>
        <v>1536461.9</v>
      </c>
      <c r="I50" s="23">
        <f>902</f>
        <v>902</v>
      </c>
      <c r="J50" s="23">
        <f>45003654.59</f>
        <v>45003654.590000004</v>
      </c>
      <c r="K50" s="23">
        <f>45850013.22</f>
        <v>45850013.219999999</v>
      </c>
      <c r="L50" s="23">
        <f>7511524957.56</f>
        <v>7511524957.5600004</v>
      </c>
      <c r="M50" s="23">
        <f>19561508066.74</f>
        <v>19561508066.740002</v>
      </c>
      <c r="N50" s="23">
        <f>212854175</f>
        <v>212854175</v>
      </c>
      <c r="O50" s="23">
        <f>91299916.05</f>
        <v>91299916.049999997</v>
      </c>
      <c r="P50" s="23">
        <f>35407963.69</f>
        <v>35407963.689999998</v>
      </c>
      <c r="Q50" s="23">
        <f>55891952.36</f>
        <v>55891952.359999999</v>
      </c>
    </row>
    <row r="51" spans="1:17" ht="28.5" customHeight="1" x14ac:dyDescent="0.2">
      <c r="A51" s="18" t="s">
        <v>36</v>
      </c>
      <c r="B51" s="24">
        <f>7069754378.28</f>
        <v>7069754378.2799997</v>
      </c>
      <c r="C51" s="24">
        <f>7034014215.01</f>
        <v>7034014215.0100002</v>
      </c>
      <c r="D51" s="24">
        <f>79712100.62</f>
        <v>79712100.620000005</v>
      </c>
      <c r="E51" s="24">
        <f>4430972.33</f>
        <v>4430972.33</v>
      </c>
      <c r="F51" s="24">
        <f>4904348.97</f>
        <v>4904348.97</v>
      </c>
      <c r="G51" s="24">
        <f>69660739.15</f>
        <v>69660739.150000006</v>
      </c>
      <c r="H51" s="24">
        <f>716040.17</f>
        <v>716040.17</v>
      </c>
      <c r="I51" s="24">
        <f>0</f>
        <v>0</v>
      </c>
      <c r="J51" s="24">
        <f>162065.03</f>
        <v>162065.03</v>
      </c>
      <c r="K51" s="24">
        <f>1241214.44</f>
        <v>1241214.44</v>
      </c>
      <c r="L51" s="24">
        <f>1192712243.92</f>
        <v>1192712243.9200001</v>
      </c>
      <c r="M51" s="24">
        <f>5675253938.74</f>
        <v>5675253938.7399998</v>
      </c>
      <c r="N51" s="24">
        <f>84932652.26</f>
        <v>84932652.260000005</v>
      </c>
      <c r="O51" s="24">
        <f>35740163.27</f>
        <v>35740163.270000003</v>
      </c>
      <c r="P51" s="24">
        <f>3089607.5</f>
        <v>3089607.5</v>
      </c>
      <c r="Q51" s="24">
        <f>32650555.77</f>
        <v>32650555.77</v>
      </c>
    </row>
    <row r="52" spans="1:17" ht="28.5" customHeight="1" x14ac:dyDescent="0.2">
      <c r="A52" s="18" t="s">
        <v>37</v>
      </c>
      <c r="B52" s="24">
        <f>20862798541.6</f>
        <v>20862798541.599998</v>
      </c>
      <c r="C52" s="24">
        <f>20807238788.82</f>
        <v>20807238788.82</v>
      </c>
      <c r="D52" s="24">
        <f>384799134.1</f>
        <v>384799134.10000002</v>
      </c>
      <c r="E52" s="24">
        <f>139932610.83</f>
        <v>139932610.83000001</v>
      </c>
      <c r="F52" s="24">
        <f>8350990.8</f>
        <v>8350990.7999999998</v>
      </c>
      <c r="G52" s="24">
        <f>235695110.74</f>
        <v>235695110.74000001</v>
      </c>
      <c r="H52" s="24">
        <f>820421.73</f>
        <v>820421.73</v>
      </c>
      <c r="I52" s="24">
        <f>902</f>
        <v>902</v>
      </c>
      <c r="J52" s="24">
        <f>44841589.56</f>
        <v>44841589.560000002</v>
      </c>
      <c r="K52" s="24">
        <f>44608798.78</f>
        <v>44608798.780000001</v>
      </c>
      <c r="L52" s="24">
        <f>6318812713.64</f>
        <v>6318812713.6400003</v>
      </c>
      <c r="M52" s="24">
        <f>13886254128</f>
        <v>13886254128</v>
      </c>
      <c r="N52" s="24">
        <f>127921522.74</f>
        <v>127921522.73999999</v>
      </c>
      <c r="O52" s="24">
        <f>55559752.78</f>
        <v>55559752.780000001</v>
      </c>
      <c r="P52" s="24">
        <f>32318356.19</f>
        <v>32318356.190000001</v>
      </c>
      <c r="Q52" s="24">
        <f>23241396.59</f>
        <v>23241396.59</v>
      </c>
    </row>
    <row r="53" spans="1:17" ht="35.25" customHeight="1" x14ac:dyDescent="0.2">
      <c r="A53" s="28" t="s">
        <v>44</v>
      </c>
      <c r="B53" s="23">
        <f>9671667799.71</f>
        <v>9671667799.7099991</v>
      </c>
      <c r="C53" s="23">
        <f>9659926558</f>
        <v>9659926558</v>
      </c>
      <c r="D53" s="23">
        <f>1669225699.45</f>
        <v>1669225699.45</v>
      </c>
      <c r="E53" s="23">
        <f>885731521.1</f>
        <v>885731521.10000002</v>
      </c>
      <c r="F53" s="23">
        <f>31909019.15</f>
        <v>31909019.149999999</v>
      </c>
      <c r="G53" s="23">
        <f>704462215.65</f>
        <v>704462215.64999998</v>
      </c>
      <c r="H53" s="23">
        <f>47122943.55</f>
        <v>47122943.549999997</v>
      </c>
      <c r="I53" s="23">
        <f>27600</f>
        <v>27600</v>
      </c>
      <c r="J53" s="23">
        <f>57909378.92</f>
        <v>57909378.920000002</v>
      </c>
      <c r="K53" s="23">
        <f>25054874.1</f>
        <v>25054874.100000001</v>
      </c>
      <c r="L53" s="23">
        <f>4927011782.65</f>
        <v>4927011782.6499996</v>
      </c>
      <c r="M53" s="23">
        <f>2564316005.13</f>
        <v>2564316005.1300001</v>
      </c>
      <c r="N53" s="23">
        <f>416381217.75</f>
        <v>416381217.75</v>
      </c>
      <c r="O53" s="23">
        <f>11741241.71</f>
        <v>11741241.710000001</v>
      </c>
      <c r="P53" s="23">
        <f>5054985.32</f>
        <v>5054985.32</v>
      </c>
      <c r="Q53" s="23">
        <f>6686256.39</f>
        <v>6686256.3899999997</v>
      </c>
    </row>
    <row r="54" spans="1:17" ht="28.5" customHeight="1" x14ac:dyDescent="0.2">
      <c r="A54" s="18" t="s">
        <v>38</v>
      </c>
      <c r="B54" s="24">
        <f>1632303476.01</f>
        <v>1632303476.01</v>
      </c>
      <c r="C54" s="24">
        <f>1631832183.46</f>
        <v>1631832183.46</v>
      </c>
      <c r="D54" s="24">
        <f>110182949.09</f>
        <v>110182949.09</v>
      </c>
      <c r="E54" s="24">
        <f>7604887.54</f>
        <v>7604887.54</v>
      </c>
      <c r="F54" s="24">
        <f>14219640.19</f>
        <v>14219640.189999999</v>
      </c>
      <c r="G54" s="24">
        <f>74378764.49</f>
        <v>74378764.489999995</v>
      </c>
      <c r="H54" s="24">
        <f>13979656.87</f>
        <v>13979656.869999999</v>
      </c>
      <c r="I54" s="24">
        <f>0</f>
        <v>0</v>
      </c>
      <c r="J54" s="24">
        <f>3006353.67</f>
        <v>3006353.67</v>
      </c>
      <c r="K54" s="24">
        <f>1095607.2</f>
        <v>1095607.2</v>
      </c>
      <c r="L54" s="24">
        <f>792629986.73</f>
        <v>792629986.73000002</v>
      </c>
      <c r="M54" s="24">
        <f>697944914.11</f>
        <v>697944914.11000001</v>
      </c>
      <c r="N54" s="24">
        <f>26972372.66</f>
        <v>26972372.66</v>
      </c>
      <c r="O54" s="24">
        <f>471292.55</f>
        <v>471292.55</v>
      </c>
      <c r="P54" s="24">
        <f>323671.14</f>
        <v>323671.14</v>
      </c>
      <c r="Q54" s="24">
        <f>147621.41</f>
        <v>147621.41</v>
      </c>
    </row>
    <row r="55" spans="1:17" ht="47.25" customHeight="1" x14ac:dyDescent="0.2">
      <c r="A55" s="18" t="s">
        <v>78</v>
      </c>
      <c r="B55" s="24">
        <f>695959346.49</f>
        <v>695959346.49000001</v>
      </c>
      <c r="C55" s="24">
        <f>695802931.34</f>
        <v>695802931.34000003</v>
      </c>
      <c r="D55" s="24">
        <f>163768530.18</f>
        <v>163768530.18000001</v>
      </c>
      <c r="E55" s="24">
        <f>139154801.25</f>
        <v>139154801.25</v>
      </c>
      <c r="F55" s="24">
        <f>3610602.17</f>
        <v>3610602.17</v>
      </c>
      <c r="G55" s="24">
        <f>19633869.64</f>
        <v>19633869.640000001</v>
      </c>
      <c r="H55" s="24">
        <f>1369257.12</f>
        <v>1369257.12</v>
      </c>
      <c r="I55" s="24">
        <f>0</f>
        <v>0</v>
      </c>
      <c r="J55" s="24">
        <f>74659.96</f>
        <v>74659.960000000006</v>
      </c>
      <c r="K55" s="24">
        <f>1660035.97</f>
        <v>1660035.97</v>
      </c>
      <c r="L55" s="24">
        <f>328140177.28</f>
        <v>328140177.27999997</v>
      </c>
      <c r="M55" s="24">
        <f>191932149.86</f>
        <v>191932149.86000001</v>
      </c>
      <c r="N55" s="24">
        <f>10227378.09</f>
        <v>10227378.09</v>
      </c>
      <c r="O55" s="24">
        <f>156415.15</f>
        <v>156415.15</v>
      </c>
      <c r="P55" s="24">
        <f>147106.78</f>
        <v>147106.78</v>
      </c>
      <c r="Q55" s="24">
        <f>9308.37</f>
        <v>9308.3700000000008</v>
      </c>
    </row>
    <row r="56" spans="1:17" ht="35.25" customHeight="1" x14ac:dyDescent="0.2">
      <c r="A56" s="18" t="s">
        <v>39</v>
      </c>
      <c r="B56" s="24">
        <f>7343404977.21</f>
        <v>7343404977.21</v>
      </c>
      <c r="C56" s="24">
        <f>7332291443.2</f>
        <v>7332291443.1999998</v>
      </c>
      <c r="D56" s="24">
        <f>1395274220.18</f>
        <v>1395274220.1800001</v>
      </c>
      <c r="E56" s="24">
        <f>738971832.31</f>
        <v>738971832.30999994</v>
      </c>
      <c r="F56" s="24">
        <f>14078776.79</f>
        <v>14078776.789999999</v>
      </c>
      <c r="G56" s="24">
        <f>610449581.52</f>
        <v>610449581.51999998</v>
      </c>
      <c r="H56" s="24">
        <f>31774029.56</f>
        <v>31774029.559999999</v>
      </c>
      <c r="I56" s="24">
        <f>27600</f>
        <v>27600</v>
      </c>
      <c r="J56" s="24">
        <f>54828365.29</f>
        <v>54828365.289999999</v>
      </c>
      <c r="K56" s="24">
        <f>22299230.93</f>
        <v>22299230.93</v>
      </c>
      <c r="L56" s="24">
        <f>3806241618.64</f>
        <v>3806241618.6399999</v>
      </c>
      <c r="M56" s="24">
        <f>1674438941.16</f>
        <v>1674438941.1600001</v>
      </c>
      <c r="N56" s="24">
        <f>379181467</f>
        <v>379181467</v>
      </c>
      <c r="O56" s="24">
        <f>11113534.01</f>
        <v>11113534.01</v>
      </c>
      <c r="P56" s="24">
        <f>4584207.4</f>
        <v>4584207.4000000004</v>
      </c>
      <c r="Q56" s="24">
        <f>6529326.61</f>
        <v>6529326.6100000003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IV Kwartały 2025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4203906554.96</f>
        <v>4203906554.96</v>
      </c>
      <c r="G77" s="22">
        <f>1122847939.4</f>
        <v>1122847939.4000001</v>
      </c>
      <c r="H77" s="22">
        <f>87087481.48</f>
        <v>87087481.480000004</v>
      </c>
      <c r="I77" s="22">
        <f>172534883.86</f>
        <v>172534883.86000001</v>
      </c>
      <c r="J77" s="22">
        <f>734038628.72</f>
        <v>734038628.72000003</v>
      </c>
      <c r="K77" s="22">
        <f>129186945.34</f>
        <v>129186945.34</v>
      </c>
      <c r="L77" s="22">
        <f>3081058615.56</f>
        <v>3081058615.5599999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13190241.96</f>
        <v>13190241.960000001</v>
      </c>
      <c r="G78" s="25">
        <f>689459</f>
        <v>689459</v>
      </c>
      <c r="H78" s="25">
        <f>489459</f>
        <v>489459</v>
      </c>
      <c r="I78" s="25">
        <f>0</f>
        <v>0</v>
      </c>
      <c r="J78" s="25">
        <f>0</f>
        <v>0</v>
      </c>
      <c r="K78" s="25">
        <f>200000</f>
        <v>200000</v>
      </c>
      <c r="L78" s="25">
        <f>12500782.96</f>
        <v>12500782.960000001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618958584.27</f>
        <v>618958584.26999998</v>
      </c>
      <c r="G79" s="25">
        <f>79022220.77</f>
        <v>79022220.769999996</v>
      </c>
      <c r="H79" s="25">
        <f>0</f>
        <v>0</v>
      </c>
      <c r="I79" s="25">
        <f>5197275.71</f>
        <v>5197275.71</v>
      </c>
      <c r="J79" s="25">
        <f>73715359.02</f>
        <v>73715359.019999996</v>
      </c>
      <c r="K79" s="25">
        <f>109586.04</f>
        <v>109586.04</v>
      </c>
      <c r="L79" s="25">
        <f>539936363.5</f>
        <v>539936363.5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107874936.28</f>
        <v>107874936.28</v>
      </c>
      <c r="G80" s="25">
        <f>70208900.17</f>
        <v>70208900.170000002</v>
      </c>
      <c r="H80" s="25">
        <f>0</f>
        <v>0</v>
      </c>
      <c r="I80" s="25">
        <f>0</f>
        <v>0</v>
      </c>
      <c r="J80" s="25">
        <f>70208900.17</f>
        <v>70208900.170000002</v>
      </c>
      <c r="K80" s="25">
        <f>0</f>
        <v>0</v>
      </c>
      <c r="L80" s="25">
        <f>37666036.11</f>
        <v>37666036.109999999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22683960.94</f>
        <v>22683960.940000001</v>
      </c>
      <c r="G81" s="25">
        <f>22536001.38</f>
        <v>22536001.379999999</v>
      </c>
      <c r="H81" s="25">
        <f>0</f>
        <v>0</v>
      </c>
      <c r="I81" s="25">
        <f>0</f>
        <v>0</v>
      </c>
      <c r="J81" s="25">
        <f>22536001.38</f>
        <v>22536001.379999999</v>
      </c>
      <c r="K81" s="25">
        <f>0</f>
        <v>0</v>
      </c>
      <c r="L81" s="25">
        <f>147959.56</f>
        <v>147959.56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40565669.73</f>
        <v>40565669.729999997</v>
      </c>
      <c r="G82" s="25">
        <f>31790000.24</f>
        <v>31790000.239999998</v>
      </c>
      <c r="H82" s="25">
        <f>0</f>
        <v>0</v>
      </c>
      <c r="I82" s="25">
        <f>30000</f>
        <v>30000</v>
      </c>
      <c r="J82" s="25">
        <f>31760000.24</f>
        <v>31760000.239999998</v>
      </c>
      <c r="K82" s="25">
        <f>0</f>
        <v>0</v>
      </c>
      <c r="L82" s="25">
        <f>8775669.49</f>
        <v>8775669.4900000002</v>
      </c>
    </row>
    <row r="83" spans="1:13" ht="33" customHeight="1" x14ac:dyDescent="0.2">
      <c r="B83" s="55" t="s">
        <v>59</v>
      </c>
      <c r="C83" s="56"/>
      <c r="D83" s="56"/>
      <c r="E83" s="57"/>
      <c r="F83" s="22">
        <f>1709067.8</f>
        <v>1709067.8</v>
      </c>
      <c r="G83" s="22">
        <f>1214725.62</f>
        <v>1214725.6200000001</v>
      </c>
      <c r="H83" s="22">
        <f>0</f>
        <v>0</v>
      </c>
      <c r="I83" s="22">
        <f>0</f>
        <v>0</v>
      </c>
      <c r="J83" s="22">
        <f>1214725.62</f>
        <v>1214725.6200000001</v>
      </c>
      <c r="K83" s="22">
        <f>0</f>
        <v>0</v>
      </c>
      <c r="L83" s="22">
        <f>494342.18</f>
        <v>494342.18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IV Kwartały 2025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1729</f>
        <v>1729</v>
      </c>
      <c r="H89" s="59"/>
      <c r="I89" s="41">
        <f>11177144134.15</f>
        <v>11177144134.15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1080</f>
        <v>1080</v>
      </c>
      <c r="H90" s="62"/>
      <c r="I90" s="63">
        <f>-9358215645.37001</f>
        <v>-9358215645.3700104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4</f>
        <v>4</v>
      </c>
      <c r="C94" s="7" t="str">
        <f>IF(B94=1,"I Kwartał",IF(B94=2,"II Kwartały",IF(B94=3,"III Kwartały",IF(B94=4,"IV Kwartały","-"))))</f>
        <v>IV Kwartały</v>
      </c>
    </row>
    <row r="95" spans="1:13" ht="13.5" customHeight="1" x14ac:dyDescent="0.2">
      <c r="A95" s="7" t="s">
        <v>9</v>
      </c>
      <c r="B95" s="7">
        <f>2025</f>
        <v>2025</v>
      </c>
      <c r="C95" s="8"/>
    </row>
    <row r="96" spans="1:13" ht="13.5" customHeight="1" x14ac:dyDescent="0.2">
      <c r="A96" s="7" t="s">
        <v>10</v>
      </c>
      <c r="B96" s="9" t="str">
        <f>"Mar 18 2026 12:00AM"</f>
        <v>Mar 18 2026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2026-03-25T10:11:28Z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2026-03-25T11:10:48.6275018+01:00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GRN-292649e4-fd68-4dfd-a812-91977165b5c5</vt:lpwstr>
  </property>
  <property fmtid="{D5CDD505-2E9C-101B-9397-08002B2CF9AE}" pid="7" name="MFHash">
    <vt:lpwstr>eZkFB2LTNhrJncnSLBki+AdqO2mMLCF0TJk7DZd/oT8=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