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HHCY\Documents\```ST7\Besti@\2025\IV kwartał\2026.03.18 dane ostateczne\Zbiorówki_2025_k4_2026.03.18\Publikacja\"/>
    </mc:Choice>
  </mc:AlternateContent>
  <xr:revisionPtr revIDLastSave="0" documentId="13_ncr:1_{6CB85244-FD1C-4F19-B3AF-D236A1D677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definedNames>
    <definedName name="_xlnm.Print_Area" localSheetId="0">doch_wyd!$B$1:$L$117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18" i="4" l="1"/>
  <c r="C117" i="4"/>
  <c r="C116" i="4"/>
  <c r="C115" i="4"/>
  <c r="D113" i="4"/>
  <c r="C113" i="4"/>
  <c r="D112" i="4"/>
  <c r="C112" i="4"/>
  <c r="D111" i="4"/>
  <c r="C111" i="4"/>
  <c r="D110" i="4"/>
  <c r="C110" i="4"/>
  <c r="D109" i="4"/>
  <c r="C109" i="4"/>
  <c r="D108" i="4"/>
  <c r="C108" i="4"/>
  <c r="D107" i="4"/>
  <c r="C107" i="4"/>
  <c r="D106" i="4"/>
  <c r="C106" i="4"/>
  <c r="D105" i="4"/>
  <c r="C105" i="4"/>
  <c r="D100" i="4"/>
  <c r="C100" i="4"/>
  <c r="D99" i="4"/>
  <c r="C99" i="4"/>
  <c r="D98" i="4"/>
  <c r="C98" i="4"/>
  <c r="D97" i="4"/>
  <c r="C97" i="4"/>
  <c r="D96" i="4"/>
  <c r="C96" i="4"/>
  <c r="D95" i="4"/>
  <c r="J97" i="4" s="1"/>
  <c r="C95" i="4"/>
  <c r="D94" i="4"/>
  <c r="C94" i="4"/>
  <c r="K94" i="4" s="1"/>
  <c r="D93" i="4"/>
  <c r="C93" i="4"/>
  <c r="K93" i="4" s="1"/>
  <c r="D92" i="4"/>
  <c r="J92" i="4" s="1"/>
  <c r="C92" i="4"/>
  <c r="K92" i="4" s="1"/>
  <c r="D91" i="4"/>
  <c r="K91" i="4" s="1"/>
  <c r="C91" i="4"/>
  <c r="D90" i="4"/>
  <c r="C90" i="4"/>
  <c r="D89" i="4"/>
  <c r="K89" i="4" s="1"/>
  <c r="C89" i="4"/>
  <c r="D88" i="4"/>
  <c r="C88" i="4"/>
  <c r="D87" i="4"/>
  <c r="C87" i="4"/>
  <c r="D86" i="4"/>
  <c r="C86" i="4"/>
  <c r="D85" i="4"/>
  <c r="J85" i="4" s="1"/>
  <c r="C85" i="4"/>
  <c r="D84" i="4"/>
  <c r="C84" i="4"/>
  <c r="K84" i="4" s="1"/>
  <c r="I77" i="4"/>
  <c r="H77" i="4"/>
  <c r="G77" i="4"/>
  <c r="F77" i="4"/>
  <c r="E77" i="4"/>
  <c r="D77" i="4"/>
  <c r="J77" i="4" s="1"/>
  <c r="C77" i="4"/>
  <c r="I76" i="4"/>
  <c r="I78" i="4" s="1"/>
  <c r="H76" i="4"/>
  <c r="G76" i="4"/>
  <c r="F76" i="4"/>
  <c r="F78" i="4" s="1"/>
  <c r="E76" i="4"/>
  <c r="E78" i="4" s="1"/>
  <c r="D76" i="4"/>
  <c r="J76" i="4" s="1"/>
  <c r="C76" i="4"/>
  <c r="K76" i="4" s="1"/>
  <c r="G72" i="4"/>
  <c r="F72" i="4"/>
  <c r="E72" i="4"/>
  <c r="D72" i="4"/>
  <c r="C72" i="4"/>
  <c r="G71" i="4"/>
  <c r="F71" i="4"/>
  <c r="E71" i="4"/>
  <c r="D71" i="4"/>
  <c r="C71" i="4"/>
  <c r="G67" i="4"/>
  <c r="F67" i="4"/>
  <c r="E67" i="4"/>
  <c r="D67" i="4"/>
  <c r="C67" i="4"/>
  <c r="G66" i="4"/>
  <c r="F66" i="4"/>
  <c r="E66" i="4"/>
  <c r="D66" i="4"/>
  <c r="C66" i="4"/>
  <c r="I58" i="4"/>
  <c r="H58" i="4"/>
  <c r="G58" i="4"/>
  <c r="F58" i="4"/>
  <c r="E58" i="4"/>
  <c r="D58" i="4"/>
  <c r="C58" i="4"/>
  <c r="I57" i="4"/>
  <c r="H57" i="4"/>
  <c r="G57" i="4"/>
  <c r="F57" i="4"/>
  <c r="E57" i="4"/>
  <c r="D57" i="4"/>
  <c r="C57" i="4"/>
  <c r="I56" i="4"/>
  <c r="H56" i="4"/>
  <c r="G56" i="4"/>
  <c r="F56" i="4"/>
  <c r="E56" i="4"/>
  <c r="D56" i="4"/>
  <c r="C56" i="4"/>
  <c r="I55" i="4"/>
  <c r="H55" i="4"/>
  <c r="G55" i="4"/>
  <c r="F55" i="4"/>
  <c r="E55" i="4"/>
  <c r="D55" i="4"/>
  <c r="C55" i="4"/>
  <c r="I54" i="4"/>
  <c r="H54" i="4"/>
  <c r="H59" i="4" s="1"/>
  <c r="G54" i="4"/>
  <c r="F54" i="4"/>
  <c r="E54" i="4"/>
  <c r="D54" i="4"/>
  <c r="C54" i="4"/>
  <c r="I52" i="4"/>
  <c r="H52" i="4"/>
  <c r="G52" i="4"/>
  <c r="F52" i="4"/>
  <c r="E52" i="4"/>
  <c r="D52" i="4"/>
  <c r="C52" i="4"/>
  <c r="I51" i="4"/>
  <c r="H51" i="4"/>
  <c r="G51" i="4"/>
  <c r="F51" i="4"/>
  <c r="E51" i="4"/>
  <c r="D51" i="4"/>
  <c r="C51" i="4"/>
  <c r="I50" i="4"/>
  <c r="H50" i="4"/>
  <c r="G50" i="4"/>
  <c r="F50" i="4"/>
  <c r="E50" i="4"/>
  <c r="D50" i="4"/>
  <c r="C50" i="4"/>
  <c r="D40" i="4"/>
  <c r="C40" i="4"/>
  <c r="D38" i="4"/>
  <c r="J38" i="4" s="1"/>
  <c r="C38" i="4"/>
  <c r="D37" i="4"/>
  <c r="C37" i="4"/>
  <c r="D36" i="4"/>
  <c r="C36" i="4"/>
  <c r="D35" i="4"/>
  <c r="C35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D27" i="4"/>
  <c r="C27" i="4"/>
  <c r="D26" i="4"/>
  <c r="C26" i="4"/>
  <c r="D25" i="4"/>
  <c r="C25" i="4"/>
  <c r="D24" i="4"/>
  <c r="C24" i="4"/>
  <c r="D23" i="4"/>
  <c r="C23" i="4"/>
  <c r="D22" i="4"/>
  <c r="C22" i="4"/>
  <c r="D21" i="4"/>
  <c r="C21" i="4"/>
  <c r="K21" i="4" s="1"/>
  <c r="D20" i="4"/>
  <c r="C20" i="4"/>
  <c r="D19" i="4"/>
  <c r="C19" i="4"/>
  <c r="D18" i="4"/>
  <c r="C18" i="4"/>
  <c r="D17" i="4"/>
  <c r="C17" i="4"/>
  <c r="D16" i="4"/>
  <c r="C16" i="4"/>
  <c r="D15" i="4"/>
  <c r="C15" i="4"/>
  <c r="D14" i="4"/>
  <c r="C14" i="4"/>
  <c r="D13" i="4"/>
  <c r="C13" i="4"/>
  <c r="D9" i="4"/>
  <c r="C9" i="4"/>
  <c r="D8" i="4"/>
  <c r="C8" i="4"/>
  <c r="D7" i="4"/>
  <c r="C7" i="4"/>
  <c r="D5" i="4"/>
  <c r="C5" i="4"/>
  <c r="K23" i="4"/>
  <c r="K15" i="4"/>
  <c r="K90" i="4"/>
  <c r="K33" i="4"/>
  <c r="K98" i="4"/>
  <c r="E53" i="4"/>
  <c r="E59" i="4" s="1"/>
  <c r="F53" i="4"/>
  <c r="K16" i="4"/>
  <c r="K34" i="4"/>
  <c r="K26" i="4"/>
  <c r="K17" i="4"/>
  <c r="K35" i="4"/>
  <c r="K77" i="4"/>
  <c r="K7" i="4"/>
  <c r="K28" i="4"/>
  <c r="K55" i="4"/>
  <c r="K20" i="4"/>
  <c r="K38" i="4"/>
  <c r="K58" i="4"/>
  <c r="K8" i="4"/>
  <c r="K29" i="4"/>
  <c r="K40" i="4"/>
  <c r="K52" i="4"/>
  <c r="K96" i="4"/>
  <c r="D115" i="4"/>
  <c r="B79" i="4" s="1"/>
  <c r="K56" i="4"/>
  <c r="K24" i="4"/>
  <c r="G53" i="4"/>
  <c r="C60" i="4"/>
  <c r="C39" i="4"/>
  <c r="K5" i="4"/>
  <c r="K27" i="4"/>
  <c r="J33" i="4"/>
  <c r="J14" i="4"/>
  <c r="J24" i="4"/>
  <c r="J31" i="4"/>
  <c r="J25" i="4"/>
  <c r="J19" i="4"/>
  <c r="J32" i="4"/>
  <c r="J23" i="4"/>
  <c r="J27" i="4"/>
  <c r="J13" i="4"/>
  <c r="J7" i="4"/>
  <c r="J15" i="4"/>
  <c r="D39" i="4"/>
  <c r="J39" i="4" s="1"/>
  <c r="D41" i="4"/>
  <c r="D60" i="4"/>
  <c r="J18" i="4"/>
  <c r="J34" i="4"/>
  <c r="J29" i="4"/>
  <c r="J9" i="4"/>
  <c r="J20" i="4"/>
  <c r="J35" i="4"/>
  <c r="J37" i="4"/>
  <c r="J36" i="4"/>
  <c r="J30" i="4"/>
  <c r="J8" i="4"/>
  <c r="J16" i="4"/>
  <c r="J26" i="4"/>
  <c r="J17" i="4"/>
  <c r="J5" i="4"/>
  <c r="J22" i="4"/>
  <c r="J28" i="4"/>
  <c r="J21" i="4"/>
  <c r="K18" i="4"/>
  <c r="K36" i="4"/>
  <c r="J84" i="4"/>
  <c r="J87" i="4"/>
  <c r="J86" i="4"/>
  <c r="J90" i="4"/>
  <c r="J94" i="4"/>
  <c r="J93" i="4"/>
  <c r="J88" i="4"/>
  <c r="K9" i="4"/>
  <c r="K22" i="4"/>
  <c r="K30" i="4"/>
  <c r="K50" i="4"/>
  <c r="C53" i="4"/>
  <c r="C59" i="4" s="1"/>
  <c r="K97" i="4"/>
  <c r="K14" i="4"/>
  <c r="K32" i="4"/>
  <c r="J55" i="4"/>
  <c r="J58" i="4"/>
  <c r="J54" i="4"/>
  <c r="J57" i="4"/>
  <c r="J50" i="4"/>
  <c r="J51" i="4"/>
  <c r="J52" i="4"/>
  <c r="J56" i="4"/>
  <c r="D53" i="4"/>
  <c r="D59" i="4" s="1"/>
  <c r="J59" i="4" s="1"/>
  <c r="K87" i="4"/>
  <c r="K99" i="4"/>
  <c r="H53" i="4"/>
  <c r="C12" i="4"/>
  <c r="C11" i="4" s="1"/>
  <c r="K13" i="4"/>
  <c r="K19" i="4"/>
  <c r="K25" i="4"/>
  <c r="K31" i="4"/>
  <c r="K37" i="4"/>
  <c r="I53" i="4"/>
  <c r="I59" i="4" s="1"/>
  <c r="K57" i="4"/>
  <c r="K88" i="4"/>
  <c r="K100" i="4"/>
  <c r="D12" i="4"/>
  <c r="D11" i="4" s="1"/>
  <c r="K51" i="4"/>
  <c r="K54" i="4"/>
  <c r="J96" i="4"/>
  <c r="C41" i="4"/>
  <c r="B1" i="4" l="1"/>
  <c r="B43" i="4"/>
  <c r="J98" i="4"/>
  <c r="J99" i="4"/>
  <c r="J95" i="4"/>
  <c r="K95" i="4"/>
  <c r="J100" i="4"/>
  <c r="J91" i="4"/>
  <c r="J89" i="4"/>
  <c r="K86" i="4"/>
  <c r="K85" i="4"/>
  <c r="H78" i="4"/>
  <c r="G78" i="4"/>
  <c r="D78" i="4"/>
  <c r="J78" i="4" s="1"/>
  <c r="C78" i="4"/>
  <c r="F59" i="4"/>
  <c r="G59" i="4"/>
  <c r="C61" i="4"/>
  <c r="J53" i="4"/>
  <c r="K59" i="4"/>
  <c r="D61" i="4"/>
  <c r="K53" i="4"/>
  <c r="J11" i="4"/>
  <c r="D6" i="4"/>
  <c r="J12" i="4"/>
  <c r="K11" i="4"/>
  <c r="C6" i="4"/>
  <c r="C10" i="4" s="1"/>
  <c r="K12" i="4"/>
  <c r="K6" i="4"/>
  <c r="J40" i="4"/>
  <c r="J41" i="4"/>
  <c r="K41" i="4"/>
  <c r="K39" i="4"/>
  <c r="K78" i="4" l="1"/>
  <c r="L7" i="4"/>
  <c r="L9" i="4"/>
  <c r="D10" i="4"/>
  <c r="L8" i="4"/>
  <c r="J6" i="4"/>
  <c r="L6" i="4"/>
  <c r="L10" i="4" l="1"/>
  <c r="J10" i="4"/>
  <c r="K10" i="4"/>
</calcChain>
</file>

<file path=xl/sharedStrings.xml><?xml version="1.0" encoding="utf-8"?>
<sst xmlns="http://schemas.openxmlformats.org/spreadsheetml/2006/main" count="416" uniqueCount="112">
  <si>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</si>
  <si>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</si>
  <si>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</si>
  <si>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</si>
  <si>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</si>
  <si>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</si>
  <si>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</si>
  <si>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</si>
  <si>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</si>
  <si>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</si>
  <si>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</si>
  <si>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</si>
  <si>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</si>
  <si>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</si>
  <si>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</si>
  <si>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</si>
  <si>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</si>
  <si>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</si>
  <si>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</si>
  <si>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>dochody z majątku</t>
  </si>
  <si>
    <t xml:space="preserve">pozostałe dochody </t>
  </si>
  <si>
    <t>Struktura</t>
  </si>
  <si>
    <t>Wskaźnik</t>
  </si>
  <si>
    <t>w tym wymagalne: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</si>
  <si>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</si>
  <si>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</si>
  <si>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</si>
  <si>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</si>
  <si>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</si>
  <si>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</si>
  <si>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</si>
  <si>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</si>
  <si>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</si>
  <si>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</si>
  <si>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</si>
  <si>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Razem dochody własne 
z tego:</t>
  </si>
  <si>
    <t>Dotacje celowe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</si>
  <si>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</si>
  <si>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</si>
  <si>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</si>
  <si>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</si>
  <si>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</si>
  <si>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</si>
  <si>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</si>
  <si>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</si>
  <si>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</si>
  <si>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Dotacje §§ 200 i 620</t>
  </si>
  <si>
    <t>w tym: inwestycyjne § 620</t>
  </si>
  <si>
    <t>tytul</t>
  </si>
  <si>
    <t>majątkowe</t>
  </si>
  <si>
    <t>bieżace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</si>
  <si>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</si>
  <si>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</si>
  <si>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</si>
  <si>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</si>
  <si>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</si>
  <si>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</si>
  <si>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</si>
  <si>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</si>
  <si>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Dotacje §§ 205 i 625</t>
  </si>
  <si>
    <t>w tym: inwestycyjne § 625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</si>
  <si>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</si>
  <si>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Wydatki Ogółem UE                                         z tego:</t>
  </si>
  <si>
    <t>ze sprzedaży papierów wartościowych</t>
  </si>
  <si>
    <t>spłata  udzielonych pożyczek</t>
  </si>
  <si>
    <t>prywatyzacja majątku JST</t>
  </si>
  <si>
    <t>spłaty kredytów i pożyczek, wykup papierów wartościowych w tym:</t>
  </si>
  <si>
    <t>wykup papierów wartościowych</t>
  </si>
  <si>
    <t>wolne środki, o których mowa w art. 217 ust. 2 pkt 6 ustawy o finansach publicznych</t>
  </si>
  <si>
    <t>otrzymane ze środków z Funduszu Przeciwdziałania COVID-19 (m.in. z Rządowego Funduszu Inwestycji Lokalnych)</t>
  </si>
  <si>
    <t>na finansowanie lub dofinansowanie zadań inwestycyjnych obiektów zabytkowych oraz prac remontowych i konserwatorskich przy zabytkach</t>
  </si>
  <si>
    <t>w tym: inwestycyjne</t>
  </si>
  <si>
    <t>wynagrodzenia i składki od nich naliczane</t>
  </si>
  <si>
    <t>nadwyżka z lat ubiegłych, pomniejszona o niewykorzystane środki pieniężne, o których mowa w art. 217 ust. 2 pkt 8 ustawy o finansach publicznych</t>
  </si>
  <si>
    <t>niewykorzystane środki pieniężne, o których mowa w art. 217 ust. 2 pkt 8 ustawy o finansach publicznych</t>
  </si>
  <si>
    <t>udzielone pożyczki</t>
  </si>
  <si>
    <t>nadwyżka budżetu jednostki samorządu terytorialnego z lat ubiegłych, pomniejszona o środki określone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</si>
  <si>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</si>
  <si>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</si>
  <si>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#</t>
  </si>
  <si>
    <t>Dotacje ogółem 
z tego:</t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</si>
  <si>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</si>
  <si>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</si>
  <si>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</si>
  <si>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</si>
  <si>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</si>
  <si>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 xml:space="preserve">DOCHODY OGÓŁEM 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</si>
  <si>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</si>
  <si>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</si>
  <si>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</si>
  <si>
    <t>inne źródła, w tym:</t>
  </si>
  <si>
    <t>środki z lokat dokonanych w latach ubiegłych</t>
  </si>
  <si>
    <t>inne cele, w tym:</t>
  </si>
  <si>
    <t>lokaty na okres wykraczający poza rok budżetowy</t>
  </si>
  <si>
    <t>kredyty, pożyczki, emisja papierów wartościowych 
w tym:</t>
  </si>
  <si>
    <t>stan niespłaconych na koniec okresu sprawozdawczego zobowiązań przeznaczonych na cel , o którym mowa w art. 89 ust. 1 pkt 1 ustawy o finansach publicznych</t>
  </si>
  <si>
    <t>FINANSOWANIE DEFICYTU (E1+E2+E3+E4+E5+E6+E7+E8) 
z tego:</t>
  </si>
  <si>
    <t>podatek dochodowy od osób fizycznych</t>
  </si>
  <si>
    <t>podatek dochodowy od osób prawnych</t>
  </si>
  <si>
    <t>Subwencja ogólna, w tym:</t>
  </si>
  <si>
    <t>część rekompensująca</t>
  </si>
  <si>
    <t>środki na uzupełnienie dochodów jednostek samorządu terytorialnego</t>
  </si>
  <si>
    <t>dodatni (nadwyżka)</t>
  </si>
  <si>
    <t>ujemny (deficyt)</t>
  </si>
  <si>
    <t>liczba JST</t>
  </si>
  <si>
    <t>kwota</t>
  </si>
  <si>
    <t>Wynik budżetu</t>
  </si>
  <si>
    <t>zrównoważony</t>
  </si>
  <si>
    <t>Planowany</t>
  </si>
  <si>
    <t>Wykonany</t>
  </si>
  <si>
    <t>Wynik operacyjny (Db-Wb)</t>
  </si>
  <si>
    <t>Dochody bieżące 
minus  wydatki bieżące (Db-Wb)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</si>
</sst>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#,##0.0"/>
    <numFmt numFmtId="166" formatCode="dd/mm/yy\ h:mm;@"/>
    <numFmt numFmtId="167" formatCode="#,##0.00_ ;[Red]\-#,##0.00\ "/>
  </numFmts>
  <fonts count="37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b/>
      <sz val="8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0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3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14" borderId="0" applyNumberFormat="0" applyBorder="0" applyAlignment="0" applyProtection="0"/>
    <xf numFmtId="0" fontId="14" fillId="13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5" fillId="18" borderId="0" applyNumberFormat="0" applyBorder="0" applyAlignment="0" applyProtection="0"/>
    <xf numFmtId="0" fontId="16" fillId="7" borderId="1" applyNumberFormat="0" applyAlignment="0" applyProtection="0"/>
    <xf numFmtId="0" fontId="17" fillId="17" borderId="2" applyNumberFormat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1" applyNumberFormat="0" applyAlignment="0" applyProtection="0"/>
    <xf numFmtId="0" fontId="24" fillId="0" borderId="7" applyNumberFormat="0" applyFill="0" applyAlignment="0" applyProtection="0"/>
    <xf numFmtId="0" fontId="25" fillId="10" borderId="0" applyNumberFormat="0" applyBorder="0" applyAlignment="0" applyProtection="0"/>
    <xf numFmtId="0" fontId="34" fillId="0" borderId="0"/>
    <xf numFmtId="0" fontId="34" fillId="0" borderId="0"/>
    <xf numFmtId="0" fontId="1" fillId="4" borderId="8" applyNumberFormat="0" applyFont="0" applyAlignment="0" applyProtection="0"/>
    <xf numFmtId="0" fontId="26" fillId="7" borderId="3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164">
    <xf numFmtId="0" fontId="0" fillId="0" borderId="0" xfId="0"/>
    <xf numFmtId="0" fontId="2" fillId="0" borderId="0" xfId="0" applyFont="1"/>
    <xf numFmtId="0" fontId="6" fillId="0" borderId="0" xfId="0" applyFont="1" applyFill="1" applyAlignment="1">
      <alignment horizontal="left" vertical="center"/>
    </xf>
    <xf numFmtId="165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left" vertical="center" wrapText="1"/>
    </xf>
    <xf numFmtId="165" fontId="6" fillId="0" borderId="0" xfId="0" applyNumberFormat="1" applyFont="1"/>
    <xf numFmtId="165" fontId="6" fillId="0" borderId="0" xfId="0" applyNumberFormat="1" applyFont="1" applyFill="1"/>
    <xf numFmtId="4" fontId="4" fillId="0" borderId="10" xfId="0" applyNumberFormat="1" applyFont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/>
    </xf>
    <xf numFmtId="4" fontId="12" fillId="20" borderId="10" xfId="0" applyNumberFormat="1" applyFont="1" applyFill="1" applyBorder="1" applyAlignment="1">
      <alignment horizontal="right" vertical="center"/>
    </xf>
    <xf numFmtId="4" fontId="4" fillId="20" borderId="10" xfId="0" applyNumberFormat="1" applyFont="1" applyFill="1" applyBorder="1" applyAlignment="1">
      <alignment horizontal="right" vertical="center" wrapText="1"/>
    </xf>
    <xf numFmtId="4" fontId="6" fillId="20" borderId="10" xfId="0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165" fontId="6" fillId="0" borderId="0" xfId="0" applyNumberFormat="1" applyFont="1" applyFill="1" applyAlignment="1">
      <alignment horizontal="right" vertical="center"/>
    </xf>
    <xf numFmtId="0" fontId="4" fillId="0" borderId="10" xfId="0" applyFont="1" applyBorder="1" applyAlignment="1">
      <alignment horizontal="left" vertical="center" wrapText="1" indent="2"/>
    </xf>
    <xf numFmtId="165" fontId="12" fillId="20" borderId="10" xfId="0" applyNumberFormat="1" applyFont="1" applyFill="1" applyBorder="1" applyAlignment="1">
      <alignment horizontal="right" vertical="center"/>
    </xf>
    <xf numFmtId="165" fontId="4" fillId="0" borderId="10" xfId="0" applyNumberFormat="1" applyFont="1" applyFill="1" applyBorder="1" applyAlignment="1">
      <alignment horizontal="right" vertical="center"/>
    </xf>
    <xf numFmtId="165" fontId="11" fillId="20" borderId="10" xfId="0" applyNumberFormat="1" applyFont="1" applyFill="1" applyBorder="1" applyAlignment="1">
      <alignment horizontal="right" vertical="center"/>
    </xf>
    <xf numFmtId="165" fontId="6" fillId="0" borderId="10" xfId="0" applyNumberFormat="1" applyFont="1" applyBorder="1" applyAlignment="1">
      <alignment horizontal="right" vertical="center"/>
    </xf>
    <xf numFmtId="0" fontId="6" fillId="0" borderId="10" xfId="0" applyFont="1" applyBorder="1"/>
    <xf numFmtId="0" fontId="6" fillId="0" borderId="0" xfId="0" applyFont="1"/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165" fontId="11" fillId="20" borderId="10" xfId="28" applyNumberFormat="1" applyFont="1" applyFill="1" applyBorder="1" applyAlignment="1">
      <alignment horizontal="right" vertical="center"/>
    </xf>
    <xf numFmtId="4" fontId="11" fillId="20" borderId="14" xfId="0" applyNumberFormat="1" applyFont="1" applyFill="1" applyBorder="1" applyAlignment="1">
      <alignment horizontal="right" vertical="center"/>
    </xf>
    <xf numFmtId="4" fontId="6" fillId="0" borderId="14" xfId="0" applyNumberFormat="1" applyFont="1" applyBorder="1" applyAlignment="1">
      <alignment horizontal="right" vertical="center"/>
    </xf>
    <xf numFmtId="4" fontId="6" fillId="20" borderId="14" xfId="0" applyNumberFormat="1" applyFont="1" applyFill="1" applyBorder="1" applyAlignment="1">
      <alignment horizontal="right" vertical="center"/>
    </xf>
    <xf numFmtId="4" fontId="6" fillId="21" borderId="14" xfId="0" applyNumberFormat="1" applyFont="1" applyFill="1" applyBorder="1" applyAlignment="1">
      <alignment horizontal="right" vertical="center"/>
    </xf>
    <xf numFmtId="4" fontId="11" fillId="22" borderId="14" xfId="0" applyNumberFormat="1" applyFont="1" applyFill="1" applyBorder="1" applyAlignment="1">
      <alignment horizontal="right" vertical="center"/>
    </xf>
    <xf numFmtId="0" fontId="35" fillId="22" borderId="10" xfId="43" applyFont="1" applyFill="1" applyBorder="1" applyAlignment="1">
      <alignment horizontal="left" vertical="center" wrapText="1"/>
    </xf>
    <xf numFmtId="165" fontId="11" fillId="21" borderId="10" xfId="28" applyNumberFormat="1" applyFont="1" applyFill="1" applyBorder="1" applyAlignment="1">
      <alignment horizontal="right" vertical="center"/>
    </xf>
    <xf numFmtId="165" fontId="11" fillId="21" borderId="10" xfId="0" applyNumberFormat="1" applyFont="1" applyFill="1" applyBorder="1" applyAlignment="1">
      <alignment horizontal="right" vertical="center"/>
    </xf>
    <xf numFmtId="165" fontId="11" fillId="22" borderId="10" xfId="0" applyNumberFormat="1" applyFont="1" applyFill="1" applyBorder="1" applyAlignment="1">
      <alignment horizontal="right" vertical="center"/>
    </xf>
    <xf numFmtId="0" fontId="6" fillId="0" borderId="0" xfId="0" applyFont="1" applyFill="1"/>
    <xf numFmtId="0" fontId="6" fillId="0" borderId="0" xfId="0" applyFont="1" applyFill="1" applyBorder="1" applyAlignment="1">
      <alignment vertical="center"/>
    </xf>
    <xf numFmtId="165" fontId="4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/>
    <xf numFmtId="0" fontId="12" fillId="0" borderId="0" xfId="0" applyFont="1" applyBorder="1" applyAlignment="1">
      <alignment horizontal="left" vertical="center"/>
    </xf>
    <xf numFmtId="3" fontId="12" fillId="0" borderId="0" xfId="0" applyNumberFormat="1" applyFont="1" applyBorder="1" applyAlignment="1">
      <alignment horizontal="right" vertical="center"/>
    </xf>
    <xf numFmtId="4" fontId="12" fillId="22" borderId="10" xfId="0" applyNumberFormat="1" applyFont="1" applyFill="1" applyBorder="1" applyAlignment="1">
      <alignment horizontal="right" vertical="center"/>
    </xf>
    <xf numFmtId="165" fontId="12" fillId="22" borderId="10" xfId="0" applyNumberFormat="1" applyFont="1" applyFill="1" applyBorder="1" applyAlignment="1">
      <alignment horizontal="right" vertical="center"/>
    </xf>
    <xf numFmtId="4" fontId="6" fillId="0" borderId="10" xfId="0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 applyAlignment="1">
      <alignment horizontal="right" vertical="center"/>
    </xf>
    <xf numFmtId="165" fontId="4" fillId="22" borderId="10" xfId="0" applyNumberFormat="1" applyFont="1" applyFill="1" applyBorder="1" applyAlignment="1">
      <alignment horizontal="right" vertical="center"/>
    </xf>
    <xf numFmtId="0" fontId="4" fillId="0" borderId="10" xfId="0" applyFont="1" applyFill="1" applyBorder="1" applyAlignment="1">
      <alignment horizontal="left" vertical="center" wrapText="1" indent="2"/>
    </xf>
    <xf numFmtId="4" fontId="11" fillId="22" borderId="10" xfId="0" applyNumberFormat="1" applyFont="1" applyFill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left" vertical="center" wrapText="1" indent="1"/>
    </xf>
    <xf numFmtId="4" fontId="6" fillId="0" borderId="14" xfId="0" applyNumberFormat="1" applyFont="1" applyFill="1" applyBorder="1" applyAlignment="1">
      <alignment horizontal="right" vertical="center"/>
    </xf>
    <xf numFmtId="165" fontId="11" fillId="0" borderId="10" xfId="28" applyNumberFormat="1" applyFont="1" applyFill="1" applyBorder="1" applyAlignment="1">
      <alignment horizontal="right" vertical="center"/>
    </xf>
    <xf numFmtId="165" fontId="11" fillId="0" borderId="10" xfId="0" applyNumberFormat="1" applyFont="1" applyFill="1" applyBorder="1" applyAlignment="1">
      <alignment horizontal="right" vertical="center"/>
    </xf>
    <xf numFmtId="4" fontId="4" fillId="21" borderId="10" xfId="0" applyNumberFormat="1" applyFont="1" applyFill="1" applyBorder="1" applyAlignment="1">
      <alignment horizontal="right" vertical="center"/>
    </xf>
    <xf numFmtId="165" fontId="4" fillId="21" borderId="10" xfId="0" applyNumberFormat="1" applyFont="1" applyFill="1" applyBorder="1" applyAlignment="1">
      <alignment horizontal="right" vertical="center"/>
    </xf>
    <xf numFmtId="4" fontId="4" fillId="0" borderId="14" xfId="0" applyNumberFormat="1" applyFont="1" applyFill="1" applyBorder="1" applyAlignment="1">
      <alignment vertical="center" wrapText="1"/>
    </xf>
    <xf numFmtId="0" fontId="6" fillId="19" borderId="14" xfId="0" applyFont="1" applyFill="1" applyBorder="1" applyAlignment="1">
      <alignment horizontal="center" vertical="center"/>
    </xf>
    <xf numFmtId="4" fontId="6" fillId="0" borderId="14" xfId="0" applyNumberFormat="1" applyFont="1" applyFill="1" applyBorder="1" applyAlignment="1">
      <alignment vertical="center" wrapText="1"/>
    </xf>
    <xf numFmtId="4" fontId="11" fillId="22" borderId="10" xfId="0" applyNumberFormat="1" applyFont="1" applyFill="1" applyBorder="1" applyAlignment="1">
      <alignment horizontal="right" vertical="center"/>
    </xf>
    <xf numFmtId="4" fontId="11" fillId="22" borderId="10" xfId="0" applyNumberFormat="1" applyFont="1" applyFill="1" applyBorder="1" applyAlignment="1">
      <alignment vertical="center"/>
    </xf>
    <xf numFmtId="4" fontId="4" fillId="20" borderId="10" xfId="0" applyNumberFormat="1" applyFont="1" applyFill="1" applyBorder="1" applyAlignment="1">
      <alignment vertical="center" wrapText="1"/>
    </xf>
    <xf numFmtId="4" fontId="4" fillId="0" borderId="10" xfId="0" applyNumberFormat="1" applyFont="1" applyBorder="1" applyAlignment="1">
      <alignment vertical="center"/>
    </xf>
    <xf numFmtId="4" fontId="4" fillId="0" borderId="10" xfId="0" applyNumberFormat="1" applyFont="1" applyFill="1" applyBorder="1" applyAlignment="1">
      <alignment vertical="center" wrapText="1"/>
    </xf>
    <xf numFmtId="4" fontId="4" fillId="0" borderId="10" xfId="0" applyNumberFormat="1" applyFont="1" applyFill="1" applyBorder="1" applyAlignment="1">
      <alignment vertical="center"/>
    </xf>
    <xf numFmtId="4" fontId="4" fillId="0" borderId="16" xfId="0" applyNumberFormat="1" applyFont="1" applyFill="1" applyBorder="1" applyAlignment="1">
      <alignment horizontal="right" vertical="center"/>
    </xf>
    <xf numFmtId="4" fontId="4" fillId="0" borderId="17" xfId="0" applyNumberFormat="1" applyFont="1" applyFill="1" applyBorder="1" applyAlignment="1">
      <alignment vertical="center" wrapText="1"/>
    </xf>
    <xf numFmtId="165" fontId="11" fillId="22" borderId="16" xfId="0" applyNumberFormat="1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 wrapText="1"/>
    </xf>
    <xf numFmtId="165" fontId="6" fillId="0" borderId="0" xfId="0" applyNumberFormat="1" applyFont="1" applyFill="1" applyBorder="1"/>
    <xf numFmtId="4" fontId="4" fillId="0" borderId="18" xfId="0" applyNumberFormat="1" applyFont="1" applyFill="1" applyBorder="1" applyAlignment="1">
      <alignment horizontal="right" vertical="center" wrapText="1"/>
    </xf>
    <xf numFmtId="4" fontId="4" fillId="0" borderId="17" xfId="0" applyNumberFormat="1" applyFont="1" applyFill="1" applyBorder="1" applyAlignment="1">
      <alignment horizontal="right" vertical="center" wrapText="1"/>
    </xf>
    <xf numFmtId="4" fontId="12" fillId="0" borderId="19" xfId="0" applyNumberFormat="1" applyFont="1" applyFill="1" applyBorder="1" applyAlignment="1">
      <alignment horizontal="right" vertical="center" wrapText="1"/>
    </xf>
    <xf numFmtId="4" fontId="4" fillId="20" borderId="14" xfId="0" applyNumberFormat="1" applyFont="1" applyFill="1" applyBorder="1" applyAlignment="1">
      <alignment vertical="center" wrapText="1"/>
    </xf>
    <xf numFmtId="4" fontId="4" fillId="0" borderId="0" xfId="0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 applyAlignment="1">
      <alignment horizontal="right" vertical="center"/>
    </xf>
    <xf numFmtId="0" fontId="6" fillId="19" borderId="14" xfId="0" applyFont="1" applyFill="1" applyBorder="1" applyAlignment="1">
      <alignment horizontal="center"/>
    </xf>
    <xf numFmtId="0" fontId="10" fillId="20" borderId="10" xfId="0" applyFont="1" applyFill="1" applyBorder="1" applyAlignment="1">
      <alignment horizontal="left" vertical="center" wrapText="1"/>
    </xf>
    <xf numFmtId="165" fontId="4" fillId="22" borderId="14" xfId="0" applyNumberFormat="1" applyFont="1" applyFill="1" applyBorder="1" applyAlignment="1">
      <alignment horizontal="right" vertical="center"/>
    </xf>
    <xf numFmtId="165" fontId="4" fillId="0" borderId="14" xfId="0" applyNumberFormat="1" applyFont="1" applyFill="1" applyBorder="1" applyAlignment="1">
      <alignment horizontal="right" vertical="center"/>
    </xf>
    <xf numFmtId="165" fontId="4" fillId="0" borderId="18" xfId="0" applyNumberFormat="1" applyFont="1" applyFill="1" applyBorder="1" applyAlignment="1">
      <alignment horizontal="right" vertical="center"/>
    </xf>
    <xf numFmtId="4" fontId="12" fillId="22" borderId="10" xfId="0" applyNumberFormat="1" applyFont="1" applyFill="1" applyBorder="1" applyAlignment="1">
      <alignment horizontal="center" vertical="center"/>
    </xf>
    <xf numFmtId="0" fontId="7" fillId="22" borderId="10" xfId="0" applyFont="1" applyFill="1" applyBorder="1" applyAlignment="1">
      <alignment horizontal="left" vertical="center" wrapText="1"/>
    </xf>
    <xf numFmtId="0" fontId="7" fillId="22" borderId="10" xfId="0" applyFont="1" applyFill="1" applyBorder="1" applyAlignment="1">
      <alignment horizontal="left" vertical="center" wrapText="1" indent="1"/>
    </xf>
    <xf numFmtId="0" fontId="7" fillId="22" borderId="10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right" vertical="center" wrapText="1"/>
    </xf>
    <xf numFmtId="0" fontId="32" fillId="0" borderId="0" xfId="0" applyFont="1" applyAlignment="1">
      <alignment vertical="center"/>
    </xf>
    <xf numFmtId="0" fontId="10" fillId="0" borderId="10" xfId="0" applyFont="1" applyFill="1" applyBorder="1" applyAlignment="1">
      <alignment horizontal="right" vertical="center"/>
    </xf>
    <xf numFmtId="0" fontId="7" fillId="22" borderId="10" xfId="0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3"/>
    </xf>
    <xf numFmtId="0" fontId="4" fillId="0" borderId="10" xfId="0" applyFont="1" applyBorder="1" applyAlignment="1">
      <alignment horizontal="left" vertical="center" wrapText="1" indent="3"/>
    </xf>
    <xf numFmtId="0" fontId="6" fillId="0" borderId="10" xfId="0" applyFont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35" fillId="0" borderId="10" xfId="43" applyFont="1" applyFill="1" applyBorder="1" applyAlignment="1">
      <alignment horizontal="left" vertical="center" wrapText="1" indent="1"/>
    </xf>
    <xf numFmtId="4" fontId="11" fillId="20" borderId="14" xfId="0" applyNumberFormat="1" applyFont="1" applyFill="1" applyBorder="1" applyAlignment="1">
      <alignment horizontal="center" vertical="center"/>
    </xf>
    <xf numFmtId="4" fontId="11" fillId="0" borderId="14" xfId="0" applyNumberFormat="1" applyFont="1" applyFill="1" applyBorder="1" applyAlignment="1">
      <alignment horizontal="center" vertical="center"/>
    </xf>
    <xf numFmtId="4" fontId="12" fillId="0" borderId="10" xfId="0" applyNumberFormat="1" applyFont="1" applyFill="1" applyBorder="1" applyAlignment="1">
      <alignment horizontal="center" vertical="center"/>
    </xf>
    <xf numFmtId="0" fontId="6" fillId="0" borderId="16" xfId="0" applyFont="1" applyBorder="1"/>
    <xf numFmtId="166" fontId="6" fillId="0" borderId="11" xfId="0" applyNumberFormat="1" applyFont="1" applyBorder="1"/>
    <xf numFmtId="0" fontId="4" fillId="0" borderId="10" xfId="0" applyFont="1" applyFill="1" applyBorder="1" applyAlignment="1">
      <alignment horizontal="left" vertical="center" wrapText="1" indent="4"/>
    </xf>
    <xf numFmtId="0" fontId="4" fillId="21" borderId="10" xfId="0" applyFont="1" applyFill="1" applyBorder="1" applyAlignment="1">
      <alignment horizontal="left" vertical="center" wrapText="1" indent="3"/>
    </xf>
    <xf numFmtId="4" fontId="12" fillId="20" borderId="10" xfId="0" applyNumberFormat="1" applyFont="1" applyFill="1" applyBorder="1" applyAlignment="1">
      <alignment horizontal="right" vertical="center" wrapText="1"/>
    </xf>
    <xf numFmtId="0" fontId="10" fillId="0" borderId="20" xfId="43" applyFont="1" applyFill="1" applyBorder="1" applyAlignment="1">
      <alignment horizontal="left" vertical="center"/>
    </xf>
    <xf numFmtId="0" fontId="7" fillId="22" borderId="10" xfId="0" applyFont="1" applyFill="1" applyBorder="1" applyAlignment="1">
      <alignment horizontal="left" vertical="top" wrapText="1"/>
    </xf>
    <xf numFmtId="4" fontId="12" fillId="0" borderId="0" xfId="0" applyNumberFormat="1" applyFont="1" applyFill="1" applyBorder="1" applyAlignment="1">
      <alignment horizontal="center" vertical="center"/>
    </xf>
    <xf numFmtId="0" fontId="36" fillId="0" borderId="0" xfId="0" applyFont="1"/>
    <xf numFmtId="0" fontId="35" fillId="0" borderId="10" xfId="44" applyFont="1" applyBorder="1" applyAlignment="1">
      <alignment horizontal="left" vertical="center" wrapText="1" indent="1"/>
    </xf>
    <xf numFmtId="0" fontId="11" fillId="0" borderId="10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right" vertical="center" wrapText="1"/>
    </xf>
    <xf numFmtId="3" fontId="30" fillId="0" borderId="10" xfId="0" applyNumberFormat="1" applyFont="1" applyBorder="1" applyAlignment="1">
      <alignment vertical="center" wrapText="1"/>
    </xf>
    <xf numFmtId="167" fontId="30" fillId="0" borderId="10" xfId="0" applyNumberFormat="1" applyFont="1" applyBorder="1" applyAlignment="1">
      <alignment vertical="center" wrapText="1"/>
    </xf>
    <xf numFmtId="0" fontId="7" fillId="20" borderId="10" xfId="0" applyFont="1" applyFill="1" applyBorder="1" applyAlignment="1">
      <alignment horizontal="center" vertical="center" wrapText="1"/>
    </xf>
    <xf numFmtId="0" fontId="7" fillId="22" borderId="10" xfId="0" applyFont="1" applyFill="1" applyBorder="1" applyAlignment="1">
      <alignment horizontal="left" vertical="center" wrapText="1"/>
    </xf>
    <xf numFmtId="0" fontId="33" fillId="0" borderId="10" xfId="0" applyFont="1" applyBorder="1" applyAlignment="1">
      <alignment horizontal="center" vertical="center" wrapText="1"/>
    </xf>
    <xf numFmtId="0" fontId="4" fillId="19" borderId="14" xfId="0" applyFont="1" applyFill="1" applyBorder="1" applyAlignment="1">
      <alignment horizontal="center" vertical="center"/>
    </xf>
    <xf numFmtId="0" fontId="4" fillId="19" borderId="12" xfId="0" applyFont="1" applyFill="1" applyBorder="1" applyAlignment="1">
      <alignment horizontal="center" vertical="center"/>
    </xf>
    <xf numFmtId="0" fontId="6" fillId="19" borderId="16" xfId="0" applyFont="1" applyFill="1" applyBorder="1" applyAlignment="1">
      <alignment horizontal="center" vertical="center" wrapText="1"/>
    </xf>
    <xf numFmtId="0" fontId="6" fillId="19" borderId="21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0" fontId="4" fillId="19" borderId="15" xfId="0" applyFont="1" applyFill="1" applyBorder="1" applyAlignment="1">
      <alignment horizontal="center" vertical="center"/>
    </xf>
    <xf numFmtId="165" fontId="6" fillId="0" borderId="0" xfId="0" applyNumberFormat="1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 wrapText="1"/>
    </xf>
    <xf numFmtId="0" fontId="7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4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4" fillId="19" borderId="17" xfId="0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4" fillId="19" borderId="22" xfId="0" applyFont="1" applyFill="1" applyBorder="1" applyAlignment="1">
      <alignment horizontal="center" vertical="center"/>
    </xf>
    <xf numFmtId="0" fontId="4" fillId="19" borderId="23" xfId="0" applyFont="1" applyFill="1" applyBorder="1" applyAlignment="1">
      <alignment horizontal="center" vertical="center"/>
    </xf>
    <xf numFmtId="0" fontId="4" fillId="19" borderId="24" xfId="0" applyFont="1" applyFill="1" applyBorder="1" applyAlignment="1">
      <alignment horizontal="center" vertical="center"/>
    </xf>
    <xf numFmtId="0" fontId="4" fillId="19" borderId="13" xfId="0" applyFont="1" applyFill="1" applyBorder="1" applyAlignment="1">
      <alignment horizontal="center" vertical="center"/>
    </xf>
    <xf numFmtId="4" fontId="12" fillId="0" borderId="19" xfId="0" applyNumberFormat="1" applyFont="1" applyFill="1" applyBorder="1" applyAlignment="1">
      <alignment horizontal="right" vertical="center" wrapText="1"/>
    </xf>
    <xf numFmtId="0" fontId="4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166" fontId="6" fillId="0" borderId="14" xfId="0" applyNumberFormat="1" applyFont="1" applyBorder="1" applyAlignment="1">
      <alignment horizontal="center"/>
    </xf>
    <xf numFmtId="166" fontId="6" fillId="0" borderId="12" xfId="0" applyNumberFormat="1" applyFont="1" applyBorder="1" applyAlignment="1">
      <alignment horizontal="center"/>
    </xf>
    <xf numFmtId="0" fontId="6" fillId="19" borderId="12" xfId="0" applyFont="1" applyFill="1" applyBorder="1" applyAlignment="1">
      <alignment horizontal="center" vertical="center"/>
    </xf>
    <xf numFmtId="0" fontId="6" fillId="19" borderId="12" xfId="0" applyFont="1" applyFill="1" applyBorder="1" applyAlignment="1">
      <alignment horizontal="center" vertical="center" wrapText="1"/>
    </xf>
    <xf numFmtId="0" fontId="6" fillId="19" borderId="17" xfId="0" applyFont="1" applyFill="1" applyBorder="1" applyAlignment="1">
      <alignment horizontal="center" vertical="center"/>
    </xf>
    <xf numFmtId="0" fontId="6" fillId="19" borderId="19" xfId="0" applyFont="1" applyFill="1" applyBorder="1" applyAlignment="1">
      <alignment horizontal="center" vertical="center"/>
    </xf>
    <xf numFmtId="0" fontId="6" fillId="19" borderId="22" xfId="0" applyFont="1" applyFill="1" applyBorder="1" applyAlignment="1">
      <alignment horizontal="center" vertical="center"/>
    </xf>
    <xf numFmtId="0" fontId="6" fillId="19" borderId="18" xfId="0" applyFont="1" applyFill="1" applyBorder="1" applyAlignment="1">
      <alignment horizontal="center" vertical="center"/>
    </xf>
    <xf numFmtId="0" fontId="6" fillId="19" borderId="0" xfId="0" applyFont="1" applyFill="1" applyBorder="1" applyAlignment="1">
      <alignment horizontal="center" vertical="center"/>
    </xf>
    <xf numFmtId="0" fontId="6" fillId="19" borderId="25" xfId="0" applyFont="1" applyFill="1" applyBorder="1" applyAlignment="1">
      <alignment horizontal="center" vertical="center"/>
    </xf>
    <xf numFmtId="0" fontId="6" fillId="19" borderId="23" xfId="0" applyFont="1" applyFill="1" applyBorder="1" applyAlignment="1">
      <alignment horizontal="center" vertical="center"/>
    </xf>
    <xf numFmtId="0" fontId="6" fillId="19" borderId="24" xfId="0" applyFont="1" applyFill="1" applyBorder="1" applyAlignment="1">
      <alignment horizontal="center" vertical="center"/>
    </xf>
    <xf numFmtId="0" fontId="6" fillId="19" borderId="13" xfId="0" applyFont="1" applyFill="1" applyBorder="1" applyAlignment="1">
      <alignment horizontal="center" vertical="center"/>
    </xf>
    <xf numFmtId="0" fontId="6" fillId="19" borderId="14" xfId="0" applyFont="1" applyFill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</cellXfs>
  <cellStyles count="50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Dziesiętny 2" xfId="28" xr:uid="{00000000-0005-0000-0000-00001B000000}"/>
    <cellStyle name="Dziesiętny 3" xfId="29" xr:uid="{00000000-0005-0000-0000-00001C000000}"/>
    <cellStyle name="Dziesiętny 3 2" xfId="30" xr:uid="{00000000-0005-0000-0000-00001D000000}"/>
    <cellStyle name="Dziesiętny 3 3" xfId="31" xr:uid="{00000000-0005-0000-0000-00001E000000}"/>
    <cellStyle name="Dziesiętny 4" xfId="32" xr:uid="{00000000-0005-0000-0000-00001F000000}"/>
    <cellStyle name="Dziesiętny 5" xfId="33" xr:uid="{00000000-0005-0000-0000-000020000000}"/>
    <cellStyle name="Explanatory Text" xfId="34" xr:uid="{00000000-0005-0000-0000-000021000000}"/>
    <cellStyle name="Good" xfId="35" xr:uid="{00000000-0005-0000-0000-000022000000}"/>
    <cellStyle name="Heading 1" xfId="36" xr:uid="{00000000-0005-0000-0000-000023000000}"/>
    <cellStyle name="Heading 2" xfId="37" xr:uid="{00000000-0005-0000-0000-000024000000}"/>
    <cellStyle name="Heading 3" xfId="38" xr:uid="{00000000-0005-0000-0000-000025000000}"/>
    <cellStyle name="Heading 4" xfId="39" xr:uid="{00000000-0005-0000-0000-000026000000}"/>
    <cellStyle name="Input" xfId="40" xr:uid="{00000000-0005-0000-0000-000027000000}"/>
    <cellStyle name="Linked Cell" xfId="41" xr:uid="{00000000-0005-0000-0000-000028000000}"/>
    <cellStyle name="Neutral" xfId="42" xr:uid="{00000000-0005-0000-0000-000029000000}"/>
    <cellStyle name="Normalny" xfId="0" builtinId="0"/>
    <cellStyle name="Normalny 2" xfId="43" xr:uid="{00000000-0005-0000-0000-00002B000000}"/>
    <cellStyle name="Normalny 2 2" xfId="44" xr:uid="{00000000-0005-0000-0000-00002C000000}"/>
    <cellStyle name="Note" xfId="45" xr:uid="{00000000-0005-0000-0000-00002D000000}"/>
    <cellStyle name="Output" xfId="46" xr:uid="{00000000-0005-0000-0000-00002E000000}"/>
    <cellStyle name="Title" xfId="47" xr:uid="{00000000-0005-0000-0000-00002F000000}"/>
    <cellStyle name="Total" xfId="48" xr:uid="{00000000-0005-0000-0000-000030000000}"/>
    <cellStyle name="Warning Text" xfId="49" xr:uid="{00000000-0005-0000-0000-00003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118"/>
  <sheetViews>
    <sheetView tabSelected="1" topLeftCell="B1" zoomScaleNormal="100" workbookViewId="0">
      <selection activeCell="B1" sqref="B1"/>
    </sheetView>
  </sheetViews>
  <sheetFormatPr defaultRowHeight="12.75" outlineLevelRow="1" outlineLevelCol="1" x14ac:dyDescent="0.2"/>
  <cols>
    <col min="1" max="1" width="5.7109375" style="1" hidden="1" customWidth="1"/>
    <col min="2" max="2" width="30.7109375" style="1" customWidth="1"/>
    <col min="3" max="3" width="14.5703125" style="1" customWidth="1"/>
    <col min="4" max="4" width="15" style="1" customWidth="1"/>
    <col min="5" max="5" width="14.5703125" style="1" customWidth="1" outlineLevel="1"/>
    <col min="6" max="6" width="15" style="1" customWidth="1" outlineLevel="1"/>
    <col min="7" max="9" width="13" style="1" customWidth="1" outlineLevel="1"/>
    <col min="10" max="10" width="7.7109375" style="1" bestFit="1" customWidth="1"/>
    <col min="11" max="11" width="7.5703125" style="1" bestFit="1" customWidth="1"/>
    <col min="12" max="12" width="8.42578125" style="1" customWidth="1"/>
    <col min="13" max="13" width="8.5703125" style="1" customWidth="1"/>
    <col min="14" max="16384" width="9.140625" style="1"/>
  </cols>
  <sheetData>
    <row r="1" spans="2:17" ht="18" customHeight="1" x14ac:dyDescent="0.2">
      <c r="B1" s="99" t="str">
        <f>CONCATENATE("Informacja z wykonania budżetów województw za ",$D$115," ",$C$116," rok    ",$C$118,"")</f>
        <v xml:space="preserve">Informacja z wykonania budżetów województw za IV Kwartały 2025 rok    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</row>
    <row r="2" spans="2:17" ht="60" customHeight="1" x14ac:dyDescent="0.2">
      <c r="B2" s="136" t="s">
        <v>0</v>
      </c>
      <c r="C2" s="13" t="s">
        <v>24</v>
      </c>
      <c r="D2" s="13" t="s">
        <v>25</v>
      </c>
      <c r="E2" s="13" t="s">
        <v>81</v>
      </c>
      <c r="F2" s="13" t="s">
        <v>82</v>
      </c>
      <c r="G2" s="13" t="s">
        <v>83</v>
      </c>
      <c r="H2" s="13" t="s">
        <v>84</v>
      </c>
      <c r="I2" s="13" t="s">
        <v>85</v>
      </c>
      <c r="J2" s="14" t="s">
        <v>2</v>
      </c>
      <c r="K2" s="13" t="s">
        <v>18</v>
      </c>
      <c r="L2" s="13" t="s">
        <v>3</v>
      </c>
    </row>
    <row r="3" spans="2:17" ht="9.75" customHeight="1" x14ac:dyDescent="0.2">
      <c r="B3" s="136"/>
      <c r="C3" s="128" t="s">
        <v>53</v>
      </c>
      <c r="D3" s="129"/>
      <c r="E3" s="140" t="s">
        <v>79</v>
      </c>
      <c r="F3" s="141"/>
      <c r="G3" s="141"/>
      <c r="H3" s="141"/>
      <c r="I3" s="142"/>
      <c r="J3" s="128" t="s">
        <v>4</v>
      </c>
      <c r="K3" s="133"/>
      <c r="L3" s="129"/>
    </row>
    <row r="4" spans="2:17" ht="9" customHeight="1" x14ac:dyDescent="0.2">
      <c r="B4" s="14">
        <v>1</v>
      </c>
      <c r="C4" s="16">
        <v>2</v>
      </c>
      <c r="D4" s="16">
        <v>3</v>
      </c>
      <c r="E4" s="143"/>
      <c r="F4" s="144"/>
      <c r="G4" s="144"/>
      <c r="H4" s="144"/>
      <c r="I4" s="145"/>
      <c r="J4" s="16">
        <v>4</v>
      </c>
      <c r="K4" s="16">
        <v>5</v>
      </c>
      <c r="L4" s="16">
        <v>6</v>
      </c>
    </row>
    <row r="5" spans="2:17" ht="12.95" customHeight="1" x14ac:dyDescent="0.2">
      <c r="B5" s="97" t="s">
        <v>5</v>
      </c>
      <c r="C5" s="55">
        <f>38801709302.11</f>
        <v>38801709302.110001</v>
      </c>
      <c r="D5" s="55">
        <f>38682459297.77</f>
        <v>38682459297.769997</v>
      </c>
      <c r="E5" s="94" t="s">
        <v>79</v>
      </c>
      <c r="F5" s="94" t="s">
        <v>79</v>
      </c>
      <c r="G5" s="94" t="s">
        <v>79</v>
      </c>
      <c r="H5" s="94" t="s">
        <v>79</v>
      </c>
      <c r="I5" s="94" t="s">
        <v>79</v>
      </c>
      <c r="J5" s="56">
        <f t="shared" ref="J5:J38" si="0">IF($D$5=0,"",100*$D5/$D$5)</f>
        <v>100</v>
      </c>
      <c r="K5" s="56">
        <f t="shared" ref="K5:K41" si="1">IF(C5=0,"",100*D5/C5)</f>
        <v>99.692668167240967</v>
      </c>
      <c r="L5" s="56"/>
      <c r="M5" s="34"/>
      <c r="N5" s="34"/>
      <c r="O5" s="34"/>
      <c r="P5" s="34"/>
      <c r="Q5" s="34"/>
    </row>
    <row r="6" spans="2:17" ht="27" customHeight="1" x14ac:dyDescent="0.2">
      <c r="B6" s="96" t="s">
        <v>35</v>
      </c>
      <c r="C6" s="22">
        <f>C5-C11-C35</f>
        <v>21967158428.059998</v>
      </c>
      <c r="D6" s="22">
        <f>D5-D11-D35</f>
        <v>22310476992.459995</v>
      </c>
      <c r="E6" s="94" t="s">
        <v>79</v>
      </c>
      <c r="F6" s="94" t="s">
        <v>79</v>
      </c>
      <c r="G6" s="94" t="s">
        <v>79</v>
      </c>
      <c r="H6" s="94" t="s">
        <v>79</v>
      </c>
      <c r="I6" s="94" t="s">
        <v>79</v>
      </c>
      <c r="J6" s="29">
        <f t="shared" si="0"/>
        <v>57.675952867211237</v>
      </c>
      <c r="K6" s="29">
        <f t="shared" si="1"/>
        <v>101.56287198239283</v>
      </c>
      <c r="L6" s="29">
        <f>IF($D$6=0,"",100*$D6/$D$6)</f>
        <v>100</v>
      </c>
      <c r="M6" s="34"/>
      <c r="N6" s="34"/>
      <c r="O6" s="34"/>
      <c r="P6" s="34"/>
      <c r="Q6" s="34"/>
    </row>
    <row r="7" spans="2:17" ht="22.5" outlineLevel="1" x14ac:dyDescent="0.2">
      <c r="B7" s="28" t="s">
        <v>97</v>
      </c>
      <c r="C7" s="20">
        <f>6766158728.51</f>
        <v>6766158728.5100002</v>
      </c>
      <c r="D7" s="20">
        <f>6766158727.83</f>
        <v>6766158727.8299999</v>
      </c>
      <c r="E7" s="109" t="s">
        <v>79</v>
      </c>
      <c r="F7" s="109" t="s">
        <v>79</v>
      </c>
      <c r="G7" s="109" t="s">
        <v>79</v>
      </c>
      <c r="H7" s="109" t="s">
        <v>79</v>
      </c>
      <c r="I7" s="109" t="s">
        <v>79</v>
      </c>
      <c r="J7" s="30">
        <f t="shared" si="0"/>
        <v>17.491542292452078</v>
      </c>
      <c r="K7" s="30">
        <f t="shared" si="1"/>
        <v>99.999999989949984</v>
      </c>
      <c r="L7" s="30">
        <f>IF($D$6=0,"",100*$D7/$D$6)</f>
        <v>30.327270591824092</v>
      </c>
      <c r="M7" s="34"/>
      <c r="N7" s="34"/>
      <c r="O7" s="34"/>
      <c r="P7" s="34"/>
      <c r="Q7" s="34"/>
    </row>
    <row r="8" spans="2:17" ht="22.5" outlineLevel="1" x14ac:dyDescent="0.2">
      <c r="B8" s="60" t="s">
        <v>98</v>
      </c>
      <c r="C8" s="21">
        <f>12401133775.08</f>
        <v>12401133775.08</v>
      </c>
      <c r="D8" s="21">
        <f>12401133775.95</f>
        <v>12401133775.950001</v>
      </c>
      <c r="E8" s="109" t="s">
        <v>79</v>
      </c>
      <c r="F8" s="109" t="s">
        <v>79</v>
      </c>
      <c r="G8" s="109" t="s">
        <v>79</v>
      </c>
      <c r="H8" s="109" t="s">
        <v>79</v>
      </c>
      <c r="I8" s="109" t="s">
        <v>79</v>
      </c>
      <c r="J8" s="30">
        <f t="shared" si="0"/>
        <v>32.05880391546075</v>
      </c>
      <c r="K8" s="30">
        <f t="shared" si="1"/>
        <v>100.00000000701549</v>
      </c>
      <c r="L8" s="30">
        <f>IF($D$6=0,"",100*$D8/$D$6)</f>
        <v>55.584350707253201</v>
      </c>
      <c r="M8" s="34"/>
      <c r="N8" s="34"/>
      <c r="O8" s="34"/>
      <c r="P8" s="34"/>
      <c r="Q8" s="34"/>
    </row>
    <row r="9" spans="2:17" ht="12.75" customHeight="1" outlineLevel="1" x14ac:dyDescent="0.2">
      <c r="B9" s="60" t="s">
        <v>19</v>
      </c>
      <c r="C9" s="21">
        <f>184368873</f>
        <v>184368873</v>
      </c>
      <c r="D9" s="57">
        <f>264914576.67</f>
        <v>264914576.66999999</v>
      </c>
      <c r="E9" s="109" t="s">
        <v>79</v>
      </c>
      <c r="F9" s="109" t="s">
        <v>79</v>
      </c>
      <c r="G9" s="109" t="s">
        <v>79</v>
      </c>
      <c r="H9" s="109" t="s">
        <v>79</v>
      </c>
      <c r="I9" s="109" t="s">
        <v>79</v>
      </c>
      <c r="J9" s="30">
        <f t="shared" si="0"/>
        <v>0.68484419418822229</v>
      </c>
      <c r="K9" s="30">
        <f t="shared" si="1"/>
        <v>143.68725715972673</v>
      </c>
      <c r="L9" s="30">
        <f>IF($D$6=0,"",100*$D9/$D$6)</f>
        <v>1.1873998783599742</v>
      </c>
      <c r="M9" s="34"/>
      <c r="N9" s="34"/>
      <c r="O9" s="34"/>
      <c r="P9" s="34"/>
      <c r="Q9" s="34"/>
    </row>
    <row r="10" spans="2:17" ht="12.75" customHeight="1" outlineLevel="1" x14ac:dyDescent="0.2">
      <c r="B10" s="60" t="s">
        <v>20</v>
      </c>
      <c r="C10" s="21">
        <f>C6-C7-C8-C9</f>
        <v>2615497051.4699974</v>
      </c>
      <c r="D10" s="21">
        <f>D6-D7-D8-D9</f>
        <v>2878269912.0099945</v>
      </c>
      <c r="E10" s="109" t="s">
        <v>79</v>
      </c>
      <c r="F10" s="109" t="s">
        <v>79</v>
      </c>
      <c r="G10" s="109" t="s">
        <v>79</v>
      </c>
      <c r="H10" s="109" t="s">
        <v>79</v>
      </c>
      <c r="I10" s="109" t="s">
        <v>79</v>
      </c>
      <c r="J10" s="30">
        <f t="shared" si="0"/>
        <v>7.4407624651101845</v>
      </c>
      <c r="K10" s="30">
        <f t="shared" si="1"/>
        <v>110.04676569573304</v>
      </c>
      <c r="L10" s="30">
        <f>IF($D$6=0,"",100*$D10/$D$6)</f>
        <v>12.900978822562731</v>
      </c>
      <c r="M10" s="34"/>
      <c r="N10" s="34"/>
      <c r="O10" s="34"/>
      <c r="P10" s="34"/>
      <c r="Q10" s="34"/>
    </row>
    <row r="11" spans="2:17" ht="27" customHeight="1" x14ac:dyDescent="0.2">
      <c r="B11" s="96" t="s">
        <v>80</v>
      </c>
      <c r="C11" s="55">
        <f>C12+C31+C33</f>
        <v>11150754228.220001</v>
      </c>
      <c r="D11" s="55">
        <f>D12+D31+D33</f>
        <v>10688185659.950001</v>
      </c>
      <c r="E11" s="94" t="s">
        <v>79</v>
      </c>
      <c r="F11" s="94" t="s">
        <v>79</v>
      </c>
      <c r="G11" s="94" t="s">
        <v>79</v>
      </c>
      <c r="H11" s="94" t="s">
        <v>79</v>
      </c>
      <c r="I11" s="94" t="s">
        <v>79</v>
      </c>
      <c r="J11" s="56">
        <f t="shared" si="0"/>
        <v>27.630574306753459</v>
      </c>
      <c r="K11" s="56">
        <f t="shared" si="1"/>
        <v>95.851683582987192</v>
      </c>
      <c r="L11" s="58"/>
      <c r="M11" s="34"/>
      <c r="N11" s="34"/>
      <c r="O11" s="34"/>
      <c r="P11" s="34"/>
      <c r="Q11" s="34"/>
    </row>
    <row r="12" spans="2:17" ht="27" customHeight="1" outlineLevel="1" x14ac:dyDescent="0.2">
      <c r="B12" s="101" t="s">
        <v>36</v>
      </c>
      <c r="C12" s="55">
        <f>C13+C15+C17+C19+C21+C23+C25+C27+C29</f>
        <v>4033861331.7399998</v>
      </c>
      <c r="D12" s="55">
        <f>D13+D15+D17+D19+D21+D23+D25+D27+D29</f>
        <v>3848020852.0700002</v>
      </c>
      <c r="E12" s="94" t="s">
        <v>79</v>
      </c>
      <c r="F12" s="94" t="s">
        <v>79</v>
      </c>
      <c r="G12" s="94" t="s">
        <v>79</v>
      </c>
      <c r="H12" s="94" t="s">
        <v>79</v>
      </c>
      <c r="I12" s="94" t="s">
        <v>79</v>
      </c>
      <c r="J12" s="56">
        <f t="shared" si="0"/>
        <v>9.9477151192706987</v>
      </c>
      <c r="K12" s="56">
        <f t="shared" si="1"/>
        <v>95.392987899516172</v>
      </c>
      <c r="L12" s="26"/>
      <c r="M12" s="34"/>
      <c r="N12" s="34"/>
      <c r="O12" s="34"/>
      <c r="P12" s="34"/>
      <c r="Q12" s="34"/>
    </row>
    <row r="13" spans="2:17" ht="22.5" outlineLevel="1" x14ac:dyDescent="0.2">
      <c r="B13" s="102" t="s">
        <v>9</v>
      </c>
      <c r="C13" s="21">
        <f>2245325421.89</f>
        <v>2245325421.8899999</v>
      </c>
      <c r="D13" s="21">
        <f>2203607132.09</f>
        <v>2203607132.0900002</v>
      </c>
      <c r="E13" s="109" t="s">
        <v>79</v>
      </c>
      <c r="F13" s="109" t="s">
        <v>79</v>
      </c>
      <c r="G13" s="109" t="s">
        <v>79</v>
      </c>
      <c r="H13" s="109" t="s">
        <v>79</v>
      </c>
      <c r="I13" s="109" t="s">
        <v>79</v>
      </c>
      <c r="J13" s="30">
        <f t="shared" si="0"/>
        <v>5.6966572759168796</v>
      </c>
      <c r="K13" s="30">
        <f t="shared" si="1"/>
        <v>98.141993610668536</v>
      </c>
      <c r="L13" s="26"/>
      <c r="M13" s="34"/>
      <c r="N13" s="34"/>
      <c r="O13" s="34"/>
      <c r="P13" s="34"/>
      <c r="Q13" s="34"/>
    </row>
    <row r="14" spans="2:17" ht="12.75" customHeight="1" outlineLevel="1" x14ac:dyDescent="0.2">
      <c r="B14" s="112" t="s">
        <v>6</v>
      </c>
      <c r="C14" s="21">
        <f>41534166</f>
        <v>41534166</v>
      </c>
      <c r="D14" s="21">
        <f>36252489.66</f>
        <v>36252489.659999996</v>
      </c>
      <c r="E14" s="109" t="s">
        <v>79</v>
      </c>
      <c r="F14" s="109" t="s">
        <v>79</v>
      </c>
      <c r="G14" s="109" t="s">
        <v>79</v>
      </c>
      <c r="H14" s="109" t="s">
        <v>79</v>
      </c>
      <c r="I14" s="109" t="s">
        <v>79</v>
      </c>
      <c r="J14" s="30">
        <f t="shared" si="0"/>
        <v>9.3718161456425073E-2</v>
      </c>
      <c r="K14" s="30">
        <f t="shared" si="1"/>
        <v>87.283538232114722</v>
      </c>
      <c r="L14" s="26"/>
      <c r="M14" s="34"/>
      <c r="N14" s="34"/>
      <c r="O14" s="34"/>
      <c r="P14" s="34"/>
      <c r="Q14" s="34"/>
    </row>
    <row r="15" spans="2:17" ht="12.75" customHeight="1" outlineLevel="1" x14ac:dyDescent="0.2">
      <c r="B15" s="102" t="s">
        <v>7</v>
      </c>
      <c r="C15" s="21">
        <f>414808492.09</f>
        <v>414808492.08999997</v>
      </c>
      <c r="D15" s="21">
        <f>366906434.22</f>
        <v>366906434.22000003</v>
      </c>
      <c r="E15" s="109" t="s">
        <v>79</v>
      </c>
      <c r="F15" s="109" t="s">
        <v>79</v>
      </c>
      <c r="G15" s="109" t="s">
        <v>79</v>
      </c>
      <c r="H15" s="109" t="s">
        <v>79</v>
      </c>
      <c r="I15" s="109" t="s">
        <v>79</v>
      </c>
      <c r="J15" s="30">
        <f t="shared" si="0"/>
        <v>0.94850855111260146</v>
      </c>
      <c r="K15" s="30">
        <f t="shared" si="1"/>
        <v>88.452006459981831</v>
      </c>
      <c r="L15" s="26"/>
      <c r="M15" s="34"/>
      <c r="N15" s="34"/>
      <c r="O15" s="34"/>
      <c r="P15" s="34"/>
      <c r="Q15" s="34"/>
    </row>
    <row r="16" spans="2:17" ht="12.75" customHeight="1" outlineLevel="1" x14ac:dyDescent="0.2">
      <c r="B16" s="112" t="s">
        <v>6</v>
      </c>
      <c r="C16" s="21">
        <f>356183155.97</f>
        <v>356183155.97000003</v>
      </c>
      <c r="D16" s="21">
        <f>315505065.11</f>
        <v>315505065.11000001</v>
      </c>
      <c r="E16" s="109" t="s">
        <v>79</v>
      </c>
      <c r="F16" s="109" t="s">
        <v>79</v>
      </c>
      <c r="G16" s="109" t="s">
        <v>79</v>
      </c>
      <c r="H16" s="109" t="s">
        <v>79</v>
      </c>
      <c r="I16" s="109" t="s">
        <v>79</v>
      </c>
      <c r="J16" s="30">
        <f t="shared" si="0"/>
        <v>0.8156282481455065</v>
      </c>
      <c r="K16" s="30">
        <f t="shared" si="1"/>
        <v>88.579445664907809</v>
      </c>
      <c r="L16" s="26"/>
      <c r="M16" s="34"/>
      <c r="N16" s="34"/>
      <c r="O16" s="34"/>
      <c r="P16" s="34"/>
      <c r="Q16" s="34"/>
    </row>
    <row r="17" spans="2:17" ht="33.75" outlineLevel="1" x14ac:dyDescent="0.2">
      <c r="B17" s="102" t="s">
        <v>10</v>
      </c>
      <c r="C17" s="21">
        <f>91298831.25</f>
        <v>91298831.25</v>
      </c>
      <c r="D17" s="21">
        <f>65737734.2</f>
        <v>65737734.200000003</v>
      </c>
      <c r="E17" s="109" t="s">
        <v>79</v>
      </c>
      <c r="F17" s="109" t="s">
        <v>79</v>
      </c>
      <c r="G17" s="109" t="s">
        <v>79</v>
      </c>
      <c r="H17" s="109" t="s">
        <v>79</v>
      </c>
      <c r="I17" s="109" t="s">
        <v>79</v>
      </c>
      <c r="J17" s="30">
        <f t="shared" si="0"/>
        <v>0.16994197213254669</v>
      </c>
      <c r="K17" s="30">
        <f t="shared" si="1"/>
        <v>72.002821175216297</v>
      </c>
      <c r="L17" s="26"/>
      <c r="M17" s="34"/>
      <c r="N17" s="34"/>
      <c r="O17" s="34"/>
      <c r="P17" s="34"/>
      <c r="Q17" s="34"/>
    </row>
    <row r="18" spans="2:17" ht="12.75" customHeight="1" outlineLevel="1" x14ac:dyDescent="0.2">
      <c r="B18" s="112" t="s">
        <v>6</v>
      </c>
      <c r="C18" s="21">
        <f>47059533.25</f>
        <v>47059533.25</v>
      </c>
      <c r="D18" s="21">
        <f>22393649.12</f>
        <v>22393649.120000001</v>
      </c>
      <c r="E18" s="109" t="s">
        <v>79</v>
      </c>
      <c r="F18" s="109" t="s">
        <v>79</v>
      </c>
      <c r="G18" s="109" t="s">
        <v>79</v>
      </c>
      <c r="H18" s="109" t="s">
        <v>79</v>
      </c>
      <c r="I18" s="109" t="s">
        <v>79</v>
      </c>
      <c r="J18" s="30">
        <f t="shared" si="0"/>
        <v>5.7890965379471027E-2</v>
      </c>
      <c r="K18" s="30">
        <f t="shared" si="1"/>
        <v>47.585786711983594</v>
      </c>
      <c r="L18" s="26"/>
      <c r="M18" s="34"/>
      <c r="N18" s="34"/>
      <c r="O18" s="34"/>
      <c r="P18" s="34"/>
      <c r="Q18" s="34"/>
    </row>
    <row r="19" spans="2:17" ht="24" customHeight="1" outlineLevel="1" x14ac:dyDescent="0.2">
      <c r="B19" s="102" t="s">
        <v>11</v>
      </c>
      <c r="C19" s="21">
        <f>74145877.91</f>
        <v>74145877.909999996</v>
      </c>
      <c r="D19" s="21">
        <f>73760896.36</f>
        <v>73760896.359999999</v>
      </c>
      <c r="E19" s="109" t="s">
        <v>79</v>
      </c>
      <c r="F19" s="109" t="s">
        <v>79</v>
      </c>
      <c r="G19" s="109" t="s">
        <v>79</v>
      </c>
      <c r="H19" s="109" t="s">
        <v>79</v>
      </c>
      <c r="I19" s="109" t="s">
        <v>79</v>
      </c>
      <c r="J19" s="30">
        <f t="shared" si="0"/>
        <v>0.19068305815874598</v>
      </c>
      <c r="K19" s="30">
        <f t="shared" si="1"/>
        <v>99.480778216063072</v>
      </c>
      <c r="L19" s="26"/>
      <c r="M19" s="34"/>
      <c r="N19" s="34"/>
      <c r="O19" s="34"/>
      <c r="P19" s="34"/>
      <c r="Q19" s="34"/>
    </row>
    <row r="20" spans="2:17" ht="12.75" customHeight="1" outlineLevel="1" x14ac:dyDescent="0.2">
      <c r="B20" s="112" t="s">
        <v>6</v>
      </c>
      <c r="C20" s="21">
        <f>1994647</f>
        <v>1994647</v>
      </c>
      <c r="D20" s="21">
        <f>1981340.64</f>
        <v>1981340.64</v>
      </c>
      <c r="E20" s="109" t="s">
        <v>79</v>
      </c>
      <c r="F20" s="109" t="s">
        <v>79</v>
      </c>
      <c r="G20" s="109" t="s">
        <v>79</v>
      </c>
      <c r="H20" s="109" t="s">
        <v>79</v>
      </c>
      <c r="I20" s="109" t="s">
        <v>79</v>
      </c>
      <c r="J20" s="30">
        <f t="shared" si="0"/>
        <v>5.1220648220632195E-3</v>
      </c>
      <c r="K20" s="30">
        <f t="shared" si="1"/>
        <v>99.332896497475488</v>
      </c>
      <c r="L20" s="26"/>
      <c r="M20" s="34"/>
      <c r="N20" s="34"/>
      <c r="O20" s="34"/>
      <c r="P20" s="34"/>
      <c r="Q20" s="34"/>
    </row>
    <row r="21" spans="2:17" ht="33.75" customHeight="1" outlineLevel="1" x14ac:dyDescent="0.2">
      <c r="B21" s="102" t="s">
        <v>54</v>
      </c>
      <c r="C21" s="21">
        <f>274636850.44</f>
        <v>274636850.44</v>
      </c>
      <c r="D21" s="21">
        <f>247484154.87</f>
        <v>247484154.87</v>
      </c>
      <c r="E21" s="109" t="s">
        <v>79</v>
      </c>
      <c r="F21" s="109" t="s">
        <v>79</v>
      </c>
      <c r="G21" s="109" t="s">
        <v>79</v>
      </c>
      <c r="H21" s="109" t="s">
        <v>79</v>
      </c>
      <c r="I21" s="109" t="s">
        <v>79</v>
      </c>
      <c r="J21" s="30">
        <f t="shared" si="0"/>
        <v>0.63978392109176785</v>
      </c>
      <c r="K21" s="30">
        <f t="shared" si="1"/>
        <v>90.113236615371079</v>
      </c>
      <c r="L21" s="26"/>
      <c r="M21" s="34"/>
      <c r="N21" s="34"/>
      <c r="O21" s="34"/>
      <c r="P21" s="34"/>
      <c r="Q21" s="34"/>
    </row>
    <row r="22" spans="2:17" ht="12.75" customHeight="1" outlineLevel="1" x14ac:dyDescent="0.2">
      <c r="B22" s="112" t="s">
        <v>6</v>
      </c>
      <c r="C22" s="21">
        <f>154274420.82</f>
        <v>154274420.81999999</v>
      </c>
      <c r="D22" s="21">
        <f>128506555.25</f>
        <v>128506555.25</v>
      </c>
      <c r="E22" s="109" t="s">
        <v>79</v>
      </c>
      <c r="F22" s="109" t="s">
        <v>79</v>
      </c>
      <c r="G22" s="109" t="s">
        <v>79</v>
      </c>
      <c r="H22" s="109" t="s">
        <v>79</v>
      </c>
      <c r="I22" s="109" t="s">
        <v>79</v>
      </c>
      <c r="J22" s="30">
        <f t="shared" si="0"/>
        <v>0.33220885533875111</v>
      </c>
      <c r="K22" s="30">
        <f t="shared" si="1"/>
        <v>83.297383044422702</v>
      </c>
      <c r="L22" s="26"/>
      <c r="M22" s="34"/>
      <c r="N22" s="34"/>
      <c r="O22" s="34"/>
      <c r="P22" s="34"/>
      <c r="Q22" s="34"/>
    </row>
    <row r="23" spans="2:17" outlineLevel="1" x14ac:dyDescent="0.2">
      <c r="B23" s="102" t="s">
        <v>8</v>
      </c>
      <c r="C23" s="21">
        <f>38683800</f>
        <v>38683800</v>
      </c>
      <c r="D23" s="21">
        <f>38538879.3</f>
        <v>38538879.299999997</v>
      </c>
      <c r="E23" s="109" t="s">
        <v>79</v>
      </c>
      <c r="F23" s="109" t="s">
        <v>79</v>
      </c>
      <c r="G23" s="109" t="s">
        <v>79</v>
      </c>
      <c r="H23" s="109" t="s">
        <v>79</v>
      </c>
      <c r="I23" s="109" t="s">
        <v>79</v>
      </c>
      <c r="J23" s="30">
        <f t="shared" si="0"/>
        <v>9.9628824019008841E-2</v>
      </c>
      <c r="K23" s="30">
        <f t="shared" si="1"/>
        <v>99.625371085570691</v>
      </c>
      <c r="L23" s="26"/>
      <c r="M23" s="34"/>
      <c r="N23" s="34"/>
      <c r="O23" s="34"/>
      <c r="P23" s="34"/>
      <c r="Q23" s="34"/>
    </row>
    <row r="24" spans="2:17" ht="12.75" customHeight="1" outlineLevel="1" x14ac:dyDescent="0.2">
      <c r="B24" s="112" t="s">
        <v>6</v>
      </c>
      <c r="C24" s="21">
        <f>6875000</f>
        <v>6875000</v>
      </c>
      <c r="D24" s="21">
        <f>6875000</f>
        <v>6875000</v>
      </c>
      <c r="E24" s="109" t="s">
        <v>79</v>
      </c>
      <c r="F24" s="109" t="s">
        <v>79</v>
      </c>
      <c r="G24" s="109" t="s">
        <v>79</v>
      </c>
      <c r="H24" s="109" t="s">
        <v>79</v>
      </c>
      <c r="I24" s="109" t="s">
        <v>79</v>
      </c>
      <c r="J24" s="30">
        <f t="shared" si="0"/>
        <v>1.777291342072539E-2</v>
      </c>
      <c r="K24" s="30">
        <f t="shared" si="1"/>
        <v>100</v>
      </c>
      <c r="L24" s="26"/>
      <c r="M24" s="34"/>
      <c r="N24" s="34"/>
      <c r="O24" s="34"/>
      <c r="P24" s="34"/>
      <c r="Q24" s="34"/>
    </row>
    <row r="25" spans="2:17" ht="67.5" outlineLevel="1" x14ac:dyDescent="0.2">
      <c r="B25" s="102" t="s">
        <v>70</v>
      </c>
      <c r="C25" s="21">
        <f>0</f>
        <v>0</v>
      </c>
      <c r="D25" s="21">
        <f>0</f>
        <v>0</v>
      </c>
      <c r="E25" s="109" t="s">
        <v>79</v>
      </c>
      <c r="F25" s="109" t="s">
        <v>79</v>
      </c>
      <c r="G25" s="109" t="s">
        <v>79</v>
      </c>
      <c r="H25" s="109" t="s">
        <v>79</v>
      </c>
      <c r="I25" s="109" t="s">
        <v>79</v>
      </c>
      <c r="J25" s="30">
        <f t="shared" si="0"/>
        <v>0</v>
      </c>
      <c r="K25" s="30" t="str">
        <f t="shared" si="1"/>
        <v/>
      </c>
      <c r="L25" s="26"/>
      <c r="M25" s="34"/>
      <c r="N25" s="34"/>
      <c r="O25" s="34"/>
      <c r="P25" s="34"/>
      <c r="Q25" s="34"/>
    </row>
    <row r="26" spans="2:17" ht="12.75" customHeight="1" outlineLevel="1" x14ac:dyDescent="0.2">
      <c r="B26" s="112" t="s">
        <v>71</v>
      </c>
      <c r="C26" s="21">
        <f>0</f>
        <v>0</v>
      </c>
      <c r="D26" s="21">
        <f>0</f>
        <v>0</v>
      </c>
      <c r="E26" s="109" t="s">
        <v>79</v>
      </c>
      <c r="F26" s="109" t="s">
        <v>79</v>
      </c>
      <c r="G26" s="109" t="s">
        <v>79</v>
      </c>
      <c r="H26" s="109" t="s">
        <v>79</v>
      </c>
      <c r="I26" s="109" t="s">
        <v>79</v>
      </c>
      <c r="J26" s="30">
        <f t="shared" si="0"/>
        <v>0</v>
      </c>
      <c r="K26" s="30" t="str">
        <f t="shared" si="1"/>
        <v/>
      </c>
      <c r="L26" s="26"/>
      <c r="M26" s="34"/>
      <c r="N26" s="34"/>
      <c r="O26" s="34"/>
      <c r="P26" s="34"/>
      <c r="Q26" s="34"/>
    </row>
    <row r="27" spans="2:17" ht="45" outlineLevel="1" x14ac:dyDescent="0.2">
      <c r="B27" s="113" t="s">
        <v>69</v>
      </c>
      <c r="C27" s="67">
        <f>846055650.37</f>
        <v>846055650.37</v>
      </c>
      <c r="D27" s="67">
        <f>805546389.41</f>
        <v>805546389.40999997</v>
      </c>
      <c r="E27" s="109" t="s">
        <v>79</v>
      </c>
      <c r="F27" s="109" t="s">
        <v>79</v>
      </c>
      <c r="G27" s="109" t="s">
        <v>79</v>
      </c>
      <c r="H27" s="109" t="s">
        <v>79</v>
      </c>
      <c r="I27" s="109" t="s">
        <v>79</v>
      </c>
      <c r="J27" s="68">
        <f t="shared" si="0"/>
        <v>2.0824590887799084</v>
      </c>
      <c r="K27" s="68">
        <f t="shared" si="1"/>
        <v>95.211986239642229</v>
      </c>
      <c r="L27" s="26"/>
      <c r="M27" s="34"/>
      <c r="N27" s="34"/>
      <c r="O27" s="34"/>
      <c r="P27" s="34"/>
      <c r="Q27" s="34"/>
    </row>
    <row r="28" spans="2:17" ht="12.75" customHeight="1" outlineLevel="1" x14ac:dyDescent="0.2">
      <c r="B28" s="112" t="s">
        <v>6</v>
      </c>
      <c r="C28" s="21">
        <f>846055650.37</f>
        <v>846055650.37</v>
      </c>
      <c r="D28" s="21">
        <f>805546389.41</f>
        <v>805546389.40999997</v>
      </c>
      <c r="E28" s="109" t="s">
        <v>79</v>
      </c>
      <c r="F28" s="109" t="s">
        <v>79</v>
      </c>
      <c r="G28" s="109" t="s">
        <v>79</v>
      </c>
      <c r="H28" s="109" t="s">
        <v>79</v>
      </c>
      <c r="I28" s="109" t="s">
        <v>79</v>
      </c>
      <c r="J28" s="30">
        <f t="shared" si="0"/>
        <v>2.0824590887799084</v>
      </c>
      <c r="K28" s="30">
        <f t="shared" si="1"/>
        <v>95.211986239642229</v>
      </c>
      <c r="L28" s="26"/>
      <c r="M28" s="34"/>
      <c r="N28" s="34"/>
      <c r="O28" s="34"/>
      <c r="P28" s="34"/>
      <c r="Q28" s="34"/>
    </row>
    <row r="29" spans="2:17" ht="22.5" outlineLevel="1" x14ac:dyDescent="0.2">
      <c r="B29" s="113" t="s">
        <v>87</v>
      </c>
      <c r="C29" s="21">
        <f>48906407.79</f>
        <v>48906407.789999999</v>
      </c>
      <c r="D29" s="21">
        <f>46439231.62</f>
        <v>46439231.619999997</v>
      </c>
      <c r="E29" s="109" t="s">
        <v>79</v>
      </c>
      <c r="F29" s="109" t="s">
        <v>79</v>
      </c>
      <c r="G29" s="109" t="s">
        <v>79</v>
      </c>
      <c r="H29" s="109" t="s">
        <v>79</v>
      </c>
      <c r="I29" s="109" t="s">
        <v>79</v>
      </c>
      <c r="J29" s="30">
        <f t="shared" si="0"/>
        <v>0.12005242805923969</v>
      </c>
      <c r="K29" s="30">
        <f t="shared" si="1"/>
        <v>94.955311008336892</v>
      </c>
      <c r="L29" s="26"/>
      <c r="M29" s="34"/>
      <c r="N29" s="34"/>
      <c r="O29" s="34"/>
      <c r="P29" s="34"/>
      <c r="Q29" s="34"/>
    </row>
    <row r="30" spans="2:17" ht="12.75" customHeight="1" outlineLevel="1" x14ac:dyDescent="0.2">
      <c r="B30" s="112" t="s">
        <v>6</v>
      </c>
      <c r="C30" s="21">
        <f>0</f>
        <v>0</v>
      </c>
      <c r="D30" s="21">
        <f>0</f>
        <v>0</v>
      </c>
      <c r="E30" s="109" t="s">
        <v>79</v>
      </c>
      <c r="F30" s="109" t="s">
        <v>79</v>
      </c>
      <c r="G30" s="109" t="s">
        <v>79</v>
      </c>
      <c r="H30" s="109" t="s">
        <v>79</v>
      </c>
      <c r="I30" s="109" t="s">
        <v>79</v>
      </c>
      <c r="J30" s="30">
        <f t="shared" si="0"/>
        <v>0</v>
      </c>
      <c r="K30" s="30" t="str">
        <f t="shared" si="1"/>
        <v/>
      </c>
      <c r="L30" s="26"/>
      <c r="M30" s="34"/>
      <c r="N30" s="34"/>
      <c r="O30" s="34"/>
      <c r="P30" s="34"/>
      <c r="Q30" s="34"/>
    </row>
    <row r="31" spans="2:17" ht="13.5" customHeight="1" outlineLevel="1" x14ac:dyDescent="0.2">
      <c r="B31" s="101" t="s">
        <v>46</v>
      </c>
      <c r="C31" s="55">
        <f>1255333611.27</f>
        <v>1255333611.27</v>
      </c>
      <c r="D31" s="55">
        <f>1058282321.98</f>
        <v>1058282321.98</v>
      </c>
      <c r="E31" s="94" t="s">
        <v>79</v>
      </c>
      <c r="F31" s="94" t="s">
        <v>79</v>
      </c>
      <c r="G31" s="94" t="s">
        <v>79</v>
      </c>
      <c r="H31" s="94" t="s">
        <v>79</v>
      </c>
      <c r="I31" s="94" t="s">
        <v>79</v>
      </c>
      <c r="J31" s="56">
        <f t="shared" si="0"/>
        <v>2.7358196484705122</v>
      </c>
      <c r="K31" s="56">
        <f t="shared" si="1"/>
        <v>84.302874748120018</v>
      </c>
      <c r="L31" s="26"/>
      <c r="M31" s="34"/>
      <c r="N31" s="34"/>
      <c r="O31" s="34"/>
      <c r="P31" s="34"/>
      <c r="Q31" s="34"/>
    </row>
    <row r="32" spans="2:17" ht="12.75" customHeight="1" outlineLevel="1" x14ac:dyDescent="0.2">
      <c r="B32" s="103" t="s">
        <v>47</v>
      </c>
      <c r="C32" s="20">
        <f>286965741.89</f>
        <v>286965741.88999999</v>
      </c>
      <c r="D32" s="20">
        <f>204100181.91</f>
        <v>204100181.91</v>
      </c>
      <c r="E32" s="109" t="s">
        <v>79</v>
      </c>
      <c r="F32" s="109" t="s">
        <v>79</v>
      </c>
      <c r="G32" s="109" t="s">
        <v>79</v>
      </c>
      <c r="H32" s="109" t="s">
        <v>79</v>
      </c>
      <c r="I32" s="109" t="s">
        <v>79</v>
      </c>
      <c r="J32" s="30">
        <f t="shared" si="0"/>
        <v>0.52762979814410649</v>
      </c>
      <c r="K32" s="30">
        <f t="shared" si="1"/>
        <v>71.123535710487658</v>
      </c>
      <c r="L32" s="26"/>
      <c r="M32" s="34"/>
      <c r="N32" s="34"/>
      <c r="O32" s="34"/>
      <c r="P32" s="34"/>
      <c r="Q32" s="34"/>
    </row>
    <row r="33" spans="1:26" ht="14.25" customHeight="1" outlineLevel="1" x14ac:dyDescent="0.2">
      <c r="B33" s="101" t="s">
        <v>59</v>
      </c>
      <c r="C33" s="55">
        <f>5861559285.21</f>
        <v>5861559285.21</v>
      </c>
      <c r="D33" s="55">
        <f>5781882485.9</f>
        <v>5781882485.8999996</v>
      </c>
      <c r="E33" s="94" t="s">
        <v>79</v>
      </c>
      <c r="F33" s="94" t="s">
        <v>79</v>
      </c>
      <c r="G33" s="94" t="s">
        <v>79</v>
      </c>
      <c r="H33" s="94" t="s">
        <v>79</v>
      </c>
      <c r="I33" s="94" t="s">
        <v>79</v>
      </c>
      <c r="J33" s="59">
        <f t="shared" si="0"/>
        <v>14.947039539012245</v>
      </c>
      <c r="K33" s="59">
        <f t="shared" si="1"/>
        <v>98.640689355287392</v>
      </c>
      <c r="L33" s="26"/>
      <c r="M33" s="34"/>
      <c r="N33" s="34"/>
      <c r="O33" s="34"/>
      <c r="P33" s="34"/>
      <c r="Q33" s="34"/>
    </row>
    <row r="34" spans="1:26" ht="12.75" customHeight="1" outlineLevel="1" x14ac:dyDescent="0.2">
      <c r="B34" s="103" t="s">
        <v>60</v>
      </c>
      <c r="C34" s="20">
        <f>3565490988.85</f>
        <v>3565490988.8499999</v>
      </c>
      <c r="D34" s="20">
        <f>3633899297.05</f>
        <v>3633899297.0500002</v>
      </c>
      <c r="E34" s="109" t="s">
        <v>79</v>
      </c>
      <c r="F34" s="109" t="s">
        <v>79</v>
      </c>
      <c r="G34" s="109" t="s">
        <v>79</v>
      </c>
      <c r="H34" s="109" t="s">
        <v>79</v>
      </c>
      <c r="I34" s="109" t="s">
        <v>79</v>
      </c>
      <c r="J34" s="30">
        <f t="shared" si="0"/>
        <v>9.3941785579788366</v>
      </c>
      <c r="K34" s="30">
        <f t="shared" si="1"/>
        <v>101.91862238367526</v>
      </c>
      <c r="L34" s="26"/>
      <c r="M34" s="34"/>
      <c r="N34" s="34"/>
      <c r="O34" s="34"/>
      <c r="P34" s="34"/>
      <c r="Q34" s="34"/>
    </row>
    <row r="35" spans="1:26" s="5" customFormat="1" ht="27" customHeight="1" x14ac:dyDescent="0.2">
      <c r="B35" s="96" t="s">
        <v>99</v>
      </c>
      <c r="C35" s="22">
        <f>5683796645.83</f>
        <v>5683796645.8299999</v>
      </c>
      <c r="D35" s="22">
        <f>5683796645.36</f>
        <v>5683796645.3599997</v>
      </c>
      <c r="E35" s="94" t="s">
        <v>79</v>
      </c>
      <c r="F35" s="94" t="s">
        <v>79</v>
      </c>
      <c r="G35" s="94" t="s">
        <v>79</v>
      </c>
      <c r="H35" s="94" t="s">
        <v>79</v>
      </c>
      <c r="I35" s="94" t="s">
        <v>79</v>
      </c>
      <c r="J35" s="29">
        <f t="shared" si="0"/>
        <v>14.6934728260353</v>
      </c>
      <c r="K35" s="29">
        <f t="shared" si="1"/>
        <v>99.999999991730874</v>
      </c>
      <c r="L35" s="27"/>
      <c r="M35" s="48"/>
      <c r="N35" s="48"/>
      <c r="O35" s="48"/>
      <c r="P35" s="48"/>
      <c r="Q35" s="48"/>
    </row>
    <row r="36" spans="1:26" ht="12.75" customHeight="1" outlineLevel="1" x14ac:dyDescent="0.2">
      <c r="B36" s="60" t="s">
        <v>100</v>
      </c>
      <c r="C36" s="21">
        <f>0</f>
        <v>0</v>
      </c>
      <c r="D36" s="21">
        <f>0</f>
        <v>0</v>
      </c>
      <c r="E36" s="109" t="s">
        <v>79</v>
      </c>
      <c r="F36" s="109" t="s">
        <v>79</v>
      </c>
      <c r="G36" s="109" t="s">
        <v>79</v>
      </c>
      <c r="H36" s="109" t="s">
        <v>79</v>
      </c>
      <c r="I36" s="109" t="s">
        <v>79</v>
      </c>
      <c r="J36" s="30">
        <f t="shared" si="0"/>
        <v>0</v>
      </c>
      <c r="K36" s="30" t="str">
        <f t="shared" si="1"/>
        <v/>
      </c>
      <c r="L36" s="27"/>
      <c r="M36" s="34"/>
      <c r="N36" s="34"/>
      <c r="O36" s="34"/>
      <c r="P36" s="34"/>
      <c r="Q36" s="34"/>
    </row>
    <row r="37" spans="1:26" ht="22.5" outlineLevel="1" x14ac:dyDescent="0.2">
      <c r="B37" s="60" t="s">
        <v>101</v>
      </c>
      <c r="C37" s="21">
        <f>126565957.86</f>
        <v>126565957.86</v>
      </c>
      <c r="D37" s="21">
        <f>126565958.03</f>
        <v>126565958.03</v>
      </c>
      <c r="E37" s="109" t="s">
        <v>79</v>
      </c>
      <c r="F37" s="109" t="s">
        <v>79</v>
      </c>
      <c r="G37" s="109" t="s">
        <v>79</v>
      </c>
      <c r="H37" s="109" t="s">
        <v>79</v>
      </c>
      <c r="I37" s="109" t="s">
        <v>79</v>
      </c>
      <c r="J37" s="30">
        <f t="shared" si="0"/>
        <v>0.32719211841139684</v>
      </c>
      <c r="K37" s="30">
        <f t="shared" si="1"/>
        <v>100.00000013431732</v>
      </c>
      <c r="L37" s="27"/>
      <c r="M37" s="34"/>
      <c r="N37" s="34"/>
      <c r="O37" s="34"/>
      <c r="P37" s="34"/>
      <c r="Q37" s="34"/>
    </row>
    <row r="38" spans="1:26" ht="12.75" customHeight="1" outlineLevel="1" x14ac:dyDescent="0.2">
      <c r="B38" s="102" t="s">
        <v>6</v>
      </c>
      <c r="C38" s="21">
        <f>103157767</f>
        <v>103157767</v>
      </c>
      <c r="D38" s="21">
        <f>103157767</f>
        <v>103157767</v>
      </c>
      <c r="E38" s="109" t="s">
        <v>79</v>
      </c>
      <c r="F38" s="109" t="s">
        <v>79</v>
      </c>
      <c r="G38" s="109" t="s">
        <v>79</v>
      </c>
      <c r="H38" s="109" t="s">
        <v>79</v>
      </c>
      <c r="I38" s="109" t="s">
        <v>79</v>
      </c>
      <c r="J38" s="30">
        <f t="shared" si="0"/>
        <v>0.2666784089551073</v>
      </c>
      <c r="K38" s="30">
        <f t="shared" si="1"/>
        <v>100</v>
      </c>
      <c r="L38" s="27"/>
      <c r="M38" s="34"/>
      <c r="N38" s="34"/>
      <c r="O38" s="34"/>
      <c r="P38" s="34"/>
      <c r="Q38" s="34"/>
    </row>
    <row r="39" spans="1:26" s="5" customFormat="1" x14ac:dyDescent="0.2">
      <c r="B39" s="97" t="s">
        <v>86</v>
      </c>
      <c r="C39" s="55">
        <f>+C5</f>
        <v>38801709302.110001</v>
      </c>
      <c r="D39" s="55">
        <f>+D5</f>
        <v>38682459297.769997</v>
      </c>
      <c r="E39" s="94" t="s">
        <v>79</v>
      </c>
      <c r="F39" s="94" t="s">
        <v>79</v>
      </c>
      <c r="G39" s="94" t="s">
        <v>79</v>
      </c>
      <c r="H39" s="94" t="s">
        <v>79</v>
      </c>
      <c r="I39" s="94" t="s">
        <v>79</v>
      </c>
      <c r="J39" s="59">
        <f>IF($D$5=0,"",100*$D39/$D$39)</f>
        <v>100</v>
      </c>
      <c r="K39" s="91">
        <f t="shared" si="1"/>
        <v>99.692668167240967</v>
      </c>
      <c r="L39" s="93"/>
      <c r="M39" s="48"/>
      <c r="N39" s="48"/>
      <c r="O39" s="48"/>
      <c r="P39" s="48"/>
      <c r="Q39" s="48"/>
    </row>
    <row r="40" spans="1:26" s="5" customFormat="1" x14ac:dyDescent="0.2">
      <c r="B40" s="98" t="s">
        <v>49</v>
      </c>
      <c r="C40" s="21">
        <f>6526366767.71</f>
        <v>6526366767.71</v>
      </c>
      <c r="D40" s="21">
        <f>6371351409.65</f>
        <v>6371351409.6499996</v>
      </c>
      <c r="E40" s="109" t="s">
        <v>79</v>
      </c>
      <c r="F40" s="109" t="s">
        <v>79</v>
      </c>
      <c r="G40" s="109" t="s">
        <v>79</v>
      </c>
      <c r="H40" s="109" t="s">
        <v>79</v>
      </c>
      <c r="I40" s="109" t="s">
        <v>79</v>
      </c>
      <c r="J40" s="30">
        <f>IF($D$5=0,"",100*$D40/$D$39)</f>
        <v>16.470905742069252</v>
      </c>
      <c r="K40" s="92">
        <f t="shared" si="1"/>
        <v>97.624783228136096</v>
      </c>
      <c r="L40" s="93"/>
      <c r="M40" s="48"/>
      <c r="N40" s="48"/>
      <c r="O40" s="48"/>
      <c r="P40" s="48"/>
      <c r="Q40" s="48"/>
    </row>
    <row r="41" spans="1:26" s="5" customFormat="1" x14ac:dyDescent="0.2">
      <c r="A41" s="2"/>
      <c r="B41" s="98" t="s">
        <v>50</v>
      </c>
      <c r="C41" s="21">
        <f>C39-C40</f>
        <v>32275342534.400002</v>
      </c>
      <c r="D41" s="21">
        <f>D39-D40</f>
        <v>32311107888.119995</v>
      </c>
      <c r="E41" s="109" t="s">
        <v>79</v>
      </c>
      <c r="F41" s="109" t="s">
        <v>79</v>
      </c>
      <c r="G41" s="109" t="s">
        <v>79</v>
      </c>
      <c r="H41" s="109" t="s">
        <v>79</v>
      </c>
      <c r="I41" s="109" t="s">
        <v>79</v>
      </c>
      <c r="J41" s="30">
        <f>IF($D$5=0,"",100*$D41/$D$39)</f>
        <v>83.529094257930737</v>
      </c>
      <c r="K41" s="92">
        <f t="shared" si="1"/>
        <v>100.11081324290168</v>
      </c>
      <c r="L41" s="93"/>
      <c r="M41" s="49"/>
      <c r="N41" s="49"/>
      <c r="O41" s="50"/>
      <c r="P41" s="50"/>
      <c r="Q41" s="19"/>
    </row>
    <row r="42" spans="1:26" s="5" customFormat="1" x14ac:dyDescent="0.2">
      <c r="A42" s="2"/>
      <c r="B42" s="118" t="s">
        <v>88</v>
      </c>
      <c r="C42" s="87"/>
      <c r="D42" s="87"/>
      <c r="E42" s="117"/>
      <c r="F42" s="117"/>
      <c r="G42" s="117"/>
      <c r="H42" s="117"/>
      <c r="I42" s="117"/>
      <c r="J42" s="58"/>
      <c r="K42" s="58"/>
      <c r="L42" s="58"/>
      <c r="M42" s="49"/>
      <c r="N42" s="49"/>
      <c r="O42" s="50"/>
      <c r="P42" s="50"/>
      <c r="Q42" s="19"/>
    </row>
    <row r="43" spans="1:26" ht="18" customHeight="1" x14ac:dyDescent="0.2">
      <c r="B43" s="99" t="str">
        <f>CONCATENATE("Informacja z wykonania budżetów województw za ",$D$115," ",$C$116," rok    ",$C$118,"")</f>
        <v xml:space="preserve">Informacja z wykonania budżetów województw za IV Kwartały 2025 rok    </v>
      </c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</row>
    <row r="44" spans="1:26" s="5" customFormat="1" ht="10.5" customHeight="1" x14ac:dyDescent="0.2">
      <c r="B44" s="6"/>
      <c r="C44" s="7"/>
      <c r="D44" s="8"/>
      <c r="E44" s="8"/>
      <c r="F44" s="4"/>
      <c r="G44" s="4"/>
      <c r="H44" s="4"/>
      <c r="I44" s="4"/>
      <c r="J44" s="4"/>
      <c r="K44" s="9"/>
      <c r="L44" s="9"/>
      <c r="M44" s="3"/>
    </row>
    <row r="45" spans="1:26" ht="29.25" customHeight="1" x14ac:dyDescent="0.2">
      <c r="B45" s="136" t="s">
        <v>0</v>
      </c>
      <c r="C45" s="137" t="s">
        <v>31</v>
      </c>
      <c r="D45" s="137" t="s">
        <v>33</v>
      </c>
      <c r="E45" s="137" t="s">
        <v>32</v>
      </c>
      <c r="F45" s="137" t="s">
        <v>12</v>
      </c>
      <c r="G45" s="137"/>
      <c r="H45" s="137"/>
      <c r="I45" s="130" t="s">
        <v>61</v>
      </c>
      <c r="J45" s="137" t="s">
        <v>2</v>
      </c>
      <c r="K45" s="148" t="s">
        <v>18</v>
      </c>
      <c r="M45" s="10"/>
      <c r="N45" s="49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8" customHeight="1" x14ac:dyDescent="0.2">
      <c r="B46" s="136"/>
      <c r="C46" s="137"/>
      <c r="D46" s="137"/>
      <c r="E46" s="139"/>
      <c r="F46" s="138" t="s">
        <v>34</v>
      </c>
      <c r="G46" s="151" t="s">
        <v>23</v>
      </c>
      <c r="H46" s="139"/>
      <c r="I46" s="131"/>
      <c r="J46" s="137"/>
      <c r="K46" s="148"/>
      <c r="L46" s="11"/>
      <c r="M46" s="12"/>
      <c r="N46" s="49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55.5" customHeight="1" x14ac:dyDescent="0.2">
      <c r="B47" s="136"/>
      <c r="C47" s="137"/>
      <c r="D47" s="137"/>
      <c r="E47" s="139"/>
      <c r="F47" s="139"/>
      <c r="G47" s="15" t="s">
        <v>29</v>
      </c>
      <c r="H47" s="15" t="s">
        <v>30</v>
      </c>
      <c r="I47" s="132"/>
      <c r="J47" s="137"/>
      <c r="K47" s="148"/>
      <c r="L47" s="11"/>
      <c r="M47" s="10"/>
      <c r="N47" s="49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3.5" customHeight="1" x14ac:dyDescent="0.2">
      <c r="B48" s="136"/>
      <c r="C48" s="128" t="s">
        <v>53</v>
      </c>
      <c r="D48" s="133"/>
      <c r="E48" s="133"/>
      <c r="F48" s="133"/>
      <c r="G48" s="133"/>
      <c r="H48" s="133"/>
      <c r="I48" s="129"/>
      <c r="J48" s="147" t="s">
        <v>4</v>
      </c>
      <c r="K48" s="147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2:26" ht="11.25" customHeight="1" x14ac:dyDescent="0.2">
      <c r="B49" s="14">
        <v>1</v>
      </c>
      <c r="C49" s="16">
        <v>2</v>
      </c>
      <c r="D49" s="16">
        <v>3</v>
      </c>
      <c r="E49" s="16">
        <v>4</v>
      </c>
      <c r="F49" s="14">
        <v>5</v>
      </c>
      <c r="G49" s="14">
        <v>6</v>
      </c>
      <c r="H49" s="16">
        <v>7</v>
      </c>
      <c r="I49" s="16">
        <v>8</v>
      </c>
      <c r="J49" s="14">
        <v>9</v>
      </c>
      <c r="K49" s="16">
        <v>10</v>
      </c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2:26" ht="27" customHeight="1" x14ac:dyDescent="0.2">
      <c r="B50" s="95" t="s">
        <v>37</v>
      </c>
      <c r="C50" s="61">
        <f>41433512024.86</f>
        <v>41433512024.860001</v>
      </c>
      <c r="D50" s="72">
        <f>37978065676.24</f>
        <v>37978065676.239998</v>
      </c>
      <c r="E50" s="72">
        <f>38054826094.71</f>
        <v>38054826094.709999</v>
      </c>
      <c r="F50" s="61">
        <f>852180241.34</f>
        <v>852180241.34000003</v>
      </c>
      <c r="G50" s="61">
        <f>22930.89</f>
        <v>22930.89</v>
      </c>
      <c r="H50" s="61">
        <f>22984154.33</f>
        <v>22984154.329999998</v>
      </c>
      <c r="I50" s="73">
        <f>160753656.41</f>
        <v>160753656.41</v>
      </c>
      <c r="J50" s="47">
        <f>IF($D$50=0,"",100*$D50/$D$50)</f>
        <v>100</v>
      </c>
      <c r="K50" s="47">
        <f>IF(C50=0,"",100*D50/C50)</f>
        <v>91.660261996263458</v>
      </c>
      <c r="L50" s="34"/>
      <c r="O50" s="88"/>
    </row>
    <row r="51" spans="2:26" x14ac:dyDescent="0.2">
      <c r="B51" s="96" t="s">
        <v>14</v>
      </c>
      <c r="C51" s="23">
        <f>16104398138.42</f>
        <v>16104398138.42</v>
      </c>
      <c r="D51" s="23">
        <f>14342791334.97</f>
        <v>14342791334.969999</v>
      </c>
      <c r="E51" s="23">
        <f>14398820612.28</f>
        <v>14398820612.280001</v>
      </c>
      <c r="F51" s="23">
        <f>271975251.89</f>
        <v>271975251.88999999</v>
      </c>
      <c r="G51" s="23">
        <f>16766</f>
        <v>16766</v>
      </c>
      <c r="H51" s="23">
        <f>2415731.26</f>
        <v>2415731.2599999998</v>
      </c>
      <c r="I51" s="74">
        <f>137751643.35</f>
        <v>137751643.34999999</v>
      </c>
      <c r="J51" s="47">
        <f t="shared" ref="J51:J59" si="2">IF($D$50=0,"",100*$D51/$D$50)</f>
        <v>37.765986970587605</v>
      </c>
      <c r="K51" s="47">
        <f t="shared" ref="K51:K59" si="3">IF(C51=0,"",100*D51/C51)</f>
        <v>89.061331020826145</v>
      </c>
      <c r="L51" s="34"/>
      <c r="O51" s="81"/>
    </row>
    <row r="52" spans="2:26" ht="12.75" customHeight="1" outlineLevel="1" x14ac:dyDescent="0.2">
      <c r="B52" s="28" t="s">
        <v>13</v>
      </c>
      <c r="C52" s="20">
        <f>15203880154.42</f>
        <v>15203880154.42</v>
      </c>
      <c r="D52" s="20">
        <f>13495681755.54</f>
        <v>13495681755.540001</v>
      </c>
      <c r="E52" s="20">
        <f>13551711032.85</f>
        <v>13551711032.85</v>
      </c>
      <c r="F52" s="20">
        <f>271975251.89</f>
        <v>271975251.88999999</v>
      </c>
      <c r="G52" s="20">
        <f>16766</f>
        <v>16766</v>
      </c>
      <c r="H52" s="20">
        <f>2415731.26</f>
        <v>2415731.2599999998</v>
      </c>
      <c r="I52" s="75">
        <f>137751643.35</f>
        <v>137751643.34999999</v>
      </c>
      <c r="J52" s="47">
        <f t="shared" si="2"/>
        <v>35.535463734750522</v>
      </c>
      <c r="K52" s="47">
        <f t="shared" si="3"/>
        <v>88.764720705961366</v>
      </c>
      <c r="L52" s="34"/>
      <c r="O52" s="87"/>
    </row>
    <row r="53" spans="2:26" ht="27" customHeight="1" x14ac:dyDescent="0.2">
      <c r="B53" s="96" t="s">
        <v>38</v>
      </c>
      <c r="C53" s="23">
        <f t="shared" ref="C53:I53" si="4">C50-C51</f>
        <v>25329113886.440002</v>
      </c>
      <c r="D53" s="23">
        <f>D50-D51</f>
        <v>23635274341.269997</v>
      </c>
      <c r="E53" s="23">
        <f>E50-E51</f>
        <v>23656005482.43</v>
      </c>
      <c r="F53" s="23">
        <f t="shared" si="4"/>
        <v>580204989.45000005</v>
      </c>
      <c r="G53" s="23">
        <f t="shared" si="4"/>
        <v>6164.8899999999994</v>
      </c>
      <c r="H53" s="23">
        <f t="shared" si="4"/>
        <v>20568423.07</v>
      </c>
      <c r="I53" s="74">
        <f t="shared" si="4"/>
        <v>23002013.060000002</v>
      </c>
      <c r="J53" s="47">
        <f t="shared" si="2"/>
        <v>62.234013029412388</v>
      </c>
      <c r="K53" s="47">
        <f t="shared" si="3"/>
        <v>93.312677447919697</v>
      </c>
      <c r="L53" s="34"/>
      <c r="O53" s="81"/>
    </row>
    <row r="54" spans="2:26" ht="22.5" outlineLevel="1" x14ac:dyDescent="0.2">
      <c r="B54" s="28" t="s">
        <v>72</v>
      </c>
      <c r="C54" s="20">
        <f>6476260091.32</f>
        <v>6476260091.3199997</v>
      </c>
      <c r="D54" s="20">
        <f>6163931975.56</f>
        <v>6163931975.5600004</v>
      </c>
      <c r="E54" s="20">
        <f>6163931975.65</f>
        <v>6163931975.6499996</v>
      </c>
      <c r="F54" s="20">
        <f>382457537.19</f>
        <v>382457537.19</v>
      </c>
      <c r="G54" s="20">
        <f>3458.4</f>
        <v>3458.4</v>
      </c>
      <c r="H54" s="20">
        <f>21.6</f>
        <v>21.6</v>
      </c>
      <c r="I54" s="75">
        <f>0</f>
        <v>0</v>
      </c>
      <c r="J54" s="47">
        <f t="shared" si="2"/>
        <v>16.230242024717718</v>
      </c>
      <c r="K54" s="47">
        <f t="shared" si="3"/>
        <v>95.177338288519223</v>
      </c>
      <c r="L54" s="34"/>
      <c r="O54" s="87"/>
    </row>
    <row r="55" spans="2:26" ht="12.75" customHeight="1" outlineLevel="1" x14ac:dyDescent="0.2">
      <c r="B55" s="60" t="s">
        <v>28</v>
      </c>
      <c r="C55" s="62">
        <f>10789335824.94</f>
        <v>10789335824.940001</v>
      </c>
      <c r="D55" s="62">
        <f>10486505666.41</f>
        <v>10486505666.41</v>
      </c>
      <c r="E55" s="62">
        <f>10486505666.41</f>
        <v>10486505666.41</v>
      </c>
      <c r="F55" s="62">
        <f>7000823.54</f>
        <v>7000823.54</v>
      </c>
      <c r="G55" s="62">
        <f>0</f>
        <v>0</v>
      </c>
      <c r="H55" s="62">
        <f>0</f>
        <v>0</v>
      </c>
      <c r="I55" s="76">
        <f>528178.06</f>
        <v>528178.06000000006</v>
      </c>
      <c r="J55" s="47">
        <f t="shared" si="2"/>
        <v>27.61200571879208</v>
      </c>
      <c r="K55" s="47">
        <f t="shared" si="3"/>
        <v>97.193245595062521</v>
      </c>
      <c r="L55" s="34"/>
      <c r="O55" s="81"/>
    </row>
    <row r="56" spans="2:26" ht="12.75" customHeight="1" outlineLevel="1" x14ac:dyDescent="0.2">
      <c r="B56" s="60" t="s">
        <v>27</v>
      </c>
      <c r="C56" s="21">
        <f>262286630.23</f>
        <v>262286630.22999999</v>
      </c>
      <c r="D56" s="21">
        <f>236905820.35</f>
        <v>236905820.34999999</v>
      </c>
      <c r="E56" s="21">
        <f>236905820.35</f>
        <v>236905820.34999999</v>
      </c>
      <c r="F56" s="21">
        <f>3264094.22</f>
        <v>3264094.22</v>
      </c>
      <c r="G56" s="21">
        <f>0</f>
        <v>0</v>
      </c>
      <c r="H56" s="21">
        <f>0</f>
        <v>0</v>
      </c>
      <c r="I56" s="77">
        <f>0</f>
        <v>0</v>
      </c>
      <c r="J56" s="47">
        <f t="shared" si="2"/>
        <v>0.62379643652629224</v>
      </c>
      <c r="K56" s="47">
        <f t="shared" si="3"/>
        <v>90.323254426753095</v>
      </c>
      <c r="L56" s="34"/>
      <c r="O56" s="87"/>
    </row>
    <row r="57" spans="2:26" ht="22.5" customHeight="1" outlineLevel="1" x14ac:dyDescent="0.2">
      <c r="B57" s="60" t="s">
        <v>44</v>
      </c>
      <c r="C57" s="62">
        <f>50304543.71</f>
        <v>50304543.710000001</v>
      </c>
      <c r="D57" s="62">
        <f>17557733.92</f>
        <v>17557733.920000002</v>
      </c>
      <c r="E57" s="62">
        <f>17557733.92</f>
        <v>17557733.920000002</v>
      </c>
      <c r="F57" s="62">
        <f>0</f>
        <v>0</v>
      </c>
      <c r="G57" s="62">
        <f>0</f>
        <v>0</v>
      </c>
      <c r="H57" s="62">
        <f>0</f>
        <v>0</v>
      </c>
      <c r="I57" s="76">
        <f>0</f>
        <v>0</v>
      </c>
      <c r="J57" s="47">
        <f t="shared" si="2"/>
        <v>4.6231248504540211E-2</v>
      </c>
      <c r="K57" s="47">
        <f t="shared" si="3"/>
        <v>34.902878796035502</v>
      </c>
      <c r="L57" s="34"/>
      <c r="O57" s="81"/>
    </row>
    <row r="58" spans="2:26" ht="22.5" outlineLevel="1" x14ac:dyDescent="0.2">
      <c r="B58" s="60" t="s">
        <v>45</v>
      </c>
      <c r="C58" s="62">
        <f>255727315.7</f>
        <v>255727315.69999999</v>
      </c>
      <c r="D58" s="62">
        <f>231237045.3</f>
        <v>231237045.30000001</v>
      </c>
      <c r="E58" s="62">
        <f>231237045.3</f>
        <v>231237045.30000001</v>
      </c>
      <c r="F58" s="62">
        <f>2094703.18</f>
        <v>2094703.18</v>
      </c>
      <c r="G58" s="62">
        <f>0</f>
        <v>0</v>
      </c>
      <c r="H58" s="62">
        <f>28.8</f>
        <v>28.8</v>
      </c>
      <c r="I58" s="69">
        <f>0</f>
        <v>0</v>
      </c>
      <c r="J58" s="47">
        <f t="shared" si="2"/>
        <v>0.60886999161905053</v>
      </c>
      <c r="K58" s="47">
        <f t="shared" si="3"/>
        <v>90.423287268720983</v>
      </c>
      <c r="L58" s="34"/>
      <c r="O58" s="81"/>
    </row>
    <row r="59" spans="2:26" ht="12.75" customHeight="1" outlineLevel="1" x14ac:dyDescent="0.2">
      <c r="B59" s="60" t="s">
        <v>26</v>
      </c>
      <c r="C59" s="21">
        <f t="shared" ref="C59:I59" si="5">C53-C54-C55-C56-C57-C58</f>
        <v>7495199480.5400028</v>
      </c>
      <c r="D59" s="21">
        <f>D53-D54-D55-D56-D57-D58</f>
        <v>6499136099.7299948</v>
      </c>
      <c r="E59" s="78">
        <f>E53-E54-E55-E56-E57-E58</f>
        <v>6519867240.7999983</v>
      </c>
      <c r="F59" s="78">
        <f t="shared" si="5"/>
        <v>185387831.32000005</v>
      </c>
      <c r="G59" s="78">
        <f t="shared" si="5"/>
        <v>2706.4899999999993</v>
      </c>
      <c r="H59" s="78">
        <f t="shared" si="5"/>
        <v>20568372.669999998</v>
      </c>
      <c r="I59" s="79">
        <f t="shared" si="5"/>
        <v>22473835.000000004</v>
      </c>
      <c r="J59" s="80">
        <f t="shared" si="2"/>
        <v>17.112867609252707</v>
      </c>
      <c r="K59" s="47">
        <f t="shared" si="3"/>
        <v>86.710648817338154</v>
      </c>
      <c r="L59" s="34"/>
      <c r="O59" s="87"/>
    </row>
    <row r="60" spans="2:26" x14ac:dyDescent="0.2">
      <c r="B60" s="17" t="s">
        <v>15</v>
      </c>
      <c r="C60" s="114">
        <f>C5-C50</f>
        <v>-2631802722.75</v>
      </c>
      <c r="D60" s="114">
        <f>D5-D50</f>
        <v>704393621.52999878</v>
      </c>
      <c r="E60" s="84"/>
      <c r="F60" s="85"/>
      <c r="G60" s="85"/>
      <c r="H60" s="85"/>
      <c r="I60" s="146"/>
      <c r="J60" s="146"/>
      <c r="K60" s="25"/>
      <c r="L60" s="25"/>
      <c r="M60" s="51"/>
    </row>
    <row r="61" spans="2:26" ht="25.5" x14ac:dyDescent="0.2">
      <c r="B61" s="125" t="s">
        <v>111</v>
      </c>
      <c r="C61" s="114">
        <f>+C41-C53</f>
        <v>6946228647.9599991</v>
      </c>
      <c r="D61" s="114">
        <f>+D41-D53</f>
        <v>8675833546.8499985</v>
      </c>
      <c r="E61" s="83"/>
      <c r="F61" s="82"/>
      <c r="G61" s="82"/>
      <c r="H61" s="82"/>
      <c r="I61" s="134"/>
      <c r="J61" s="135"/>
      <c r="K61" s="34"/>
      <c r="L61" s="52"/>
      <c r="M61" s="52"/>
    </row>
    <row r="62" spans="2:26" ht="13.5" customHeight="1" outlineLevel="1" x14ac:dyDescent="0.2">
      <c r="B62" s="53"/>
      <c r="C62" s="54"/>
      <c r="D62" s="54"/>
      <c r="E62" s="54"/>
      <c r="F62" s="18"/>
      <c r="G62" s="18"/>
      <c r="H62" s="18"/>
      <c r="I62" s="18"/>
      <c r="J62" s="34"/>
      <c r="K62" s="34"/>
      <c r="L62" s="52"/>
      <c r="M62" s="52"/>
    </row>
    <row r="63" spans="2:26" ht="13.5" customHeight="1" outlineLevel="1" x14ac:dyDescent="0.2">
      <c r="B63" s="53"/>
      <c r="C63" s="54"/>
      <c r="D63" s="54"/>
      <c r="E63" s="54"/>
      <c r="F63" s="18"/>
      <c r="G63" s="18"/>
      <c r="H63" s="18"/>
      <c r="I63" s="18"/>
      <c r="J63" s="34"/>
      <c r="K63" s="34"/>
      <c r="L63" s="52"/>
      <c r="M63" s="52"/>
    </row>
    <row r="64" spans="2:26" outlineLevel="1" x14ac:dyDescent="0.2">
      <c r="B64" s="126" t="s">
        <v>106</v>
      </c>
      <c r="C64" s="127" t="s">
        <v>102</v>
      </c>
      <c r="D64" s="127"/>
      <c r="E64" s="127" t="s">
        <v>103</v>
      </c>
      <c r="F64" s="127"/>
      <c r="G64" s="120" t="s">
        <v>107</v>
      </c>
      <c r="H64" s="18"/>
      <c r="I64" s="18"/>
      <c r="J64" s="34"/>
      <c r="K64" s="34"/>
      <c r="L64" s="52"/>
      <c r="M64" s="52"/>
    </row>
    <row r="65" spans="2:13" outlineLevel="1" x14ac:dyDescent="0.2">
      <c r="B65" s="126"/>
      <c r="C65" s="121" t="s">
        <v>104</v>
      </c>
      <c r="D65" s="121" t="s">
        <v>105</v>
      </c>
      <c r="E65" s="121" t="s">
        <v>104</v>
      </c>
      <c r="F65" s="121" t="s">
        <v>105</v>
      </c>
      <c r="G65" s="121" t="s">
        <v>104</v>
      </c>
      <c r="H65" s="18"/>
      <c r="I65" s="18"/>
      <c r="J65" s="34"/>
      <c r="K65" s="34"/>
      <c r="L65" s="52"/>
      <c r="M65" s="52"/>
    </row>
    <row r="66" spans="2:13" outlineLevel="1" x14ac:dyDescent="0.2">
      <c r="B66" s="122" t="s">
        <v>108</v>
      </c>
      <c r="C66" s="123">
        <f>2</f>
        <v>2</v>
      </c>
      <c r="D66" s="124">
        <f>202574054.4</f>
        <v>202574054.40000001</v>
      </c>
      <c r="E66" s="123">
        <f>14</f>
        <v>14</v>
      </c>
      <c r="F66" s="124">
        <f>+-2834376777.15</f>
        <v>-2834376777.1500001</v>
      </c>
      <c r="G66" s="123">
        <f>0</f>
        <v>0</v>
      </c>
      <c r="H66" s="18"/>
      <c r="I66" s="18"/>
      <c r="J66" s="34"/>
      <c r="K66" s="34"/>
      <c r="L66" s="52"/>
      <c r="M66" s="52"/>
    </row>
    <row r="67" spans="2:13" outlineLevel="1" x14ac:dyDescent="0.2">
      <c r="B67" s="122" t="s">
        <v>109</v>
      </c>
      <c r="C67" s="123">
        <f>9</f>
        <v>9</v>
      </c>
      <c r="D67" s="124">
        <f>1507265030.99</f>
        <v>1507265030.99</v>
      </c>
      <c r="E67" s="123">
        <f>7</f>
        <v>7</v>
      </c>
      <c r="F67" s="124">
        <f>+-802871409.46</f>
        <v>-802871409.46000004</v>
      </c>
      <c r="G67" s="123">
        <f>0</f>
        <v>0</v>
      </c>
      <c r="H67" s="18"/>
      <c r="I67" s="18"/>
      <c r="J67" s="34"/>
      <c r="K67" s="34"/>
      <c r="L67" s="52"/>
      <c r="M67" s="52"/>
    </row>
    <row r="68" spans="2:13" outlineLevel="1" x14ac:dyDescent="0.2">
      <c r="B68" s="34"/>
      <c r="C68" s="34"/>
      <c r="D68" s="34"/>
      <c r="E68" s="34"/>
      <c r="F68" s="34"/>
      <c r="G68" s="34"/>
      <c r="H68" s="18"/>
      <c r="I68" s="18"/>
      <c r="J68" s="34"/>
      <c r="K68" s="34"/>
      <c r="L68" s="52"/>
      <c r="M68" s="52"/>
    </row>
    <row r="69" spans="2:13" outlineLevel="1" x14ac:dyDescent="0.2">
      <c r="B69" s="126" t="s">
        <v>110</v>
      </c>
      <c r="C69" s="127" t="s">
        <v>102</v>
      </c>
      <c r="D69" s="127"/>
      <c r="E69" s="127" t="s">
        <v>103</v>
      </c>
      <c r="F69" s="127"/>
      <c r="G69" s="120" t="s">
        <v>107</v>
      </c>
      <c r="H69" s="18"/>
      <c r="I69" s="18"/>
      <c r="J69" s="34"/>
      <c r="K69" s="34"/>
      <c r="L69" s="52"/>
      <c r="M69" s="52"/>
    </row>
    <row r="70" spans="2:13" outlineLevel="1" x14ac:dyDescent="0.2">
      <c r="B70" s="126"/>
      <c r="C70" s="121" t="s">
        <v>104</v>
      </c>
      <c r="D70" s="121" t="s">
        <v>105</v>
      </c>
      <c r="E70" s="121" t="s">
        <v>104</v>
      </c>
      <c r="F70" s="121" t="s">
        <v>105</v>
      </c>
      <c r="G70" s="121" t="s">
        <v>104</v>
      </c>
      <c r="H70" s="18"/>
      <c r="I70" s="18"/>
      <c r="J70" s="34"/>
      <c r="K70" s="34"/>
      <c r="L70" s="52"/>
      <c r="M70" s="52"/>
    </row>
    <row r="71" spans="2:13" outlineLevel="1" x14ac:dyDescent="0.2">
      <c r="B71" s="122" t="s">
        <v>108</v>
      </c>
      <c r="C71" s="123">
        <f>16</f>
        <v>16</v>
      </c>
      <c r="D71" s="124">
        <f>6946228647.96</f>
        <v>6946228647.96</v>
      </c>
      <c r="E71" s="123">
        <f>0</f>
        <v>0</v>
      </c>
      <c r="F71" s="124">
        <f>0</f>
        <v>0</v>
      </c>
      <c r="G71" s="123">
        <f>0</f>
        <v>0</v>
      </c>
      <c r="H71" s="18"/>
      <c r="I71" s="18"/>
      <c r="J71" s="34"/>
      <c r="K71" s="34"/>
      <c r="L71" s="52"/>
      <c r="M71" s="52"/>
    </row>
    <row r="72" spans="2:13" outlineLevel="1" x14ac:dyDescent="0.2">
      <c r="B72" s="122" t="s">
        <v>109</v>
      </c>
      <c r="C72" s="123">
        <f>16</f>
        <v>16</v>
      </c>
      <c r="D72" s="124">
        <f>8675833546.85</f>
        <v>8675833546.8500004</v>
      </c>
      <c r="E72" s="123">
        <f>0</f>
        <v>0</v>
      </c>
      <c r="F72" s="124">
        <f>0</f>
        <v>0</v>
      </c>
      <c r="G72" s="123">
        <f>0</f>
        <v>0</v>
      </c>
      <c r="H72" s="18"/>
      <c r="I72" s="18"/>
      <c r="J72" s="34"/>
      <c r="K72" s="34"/>
      <c r="L72" s="52"/>
      <c r="M72" s="52"/>
    </row>
    <row r="73" spans="2:13" ht="13.5" customHeight="1" outlineLevel="1" x14ac:dyDescent="0.2">
      <c r="B73" s="53"/>
      <c r="C73" s="54"/>
      <c r="D73" s="54"/>
      <c r="E73" s="54"/>
      <c r="F73" s="18"/>
      <c r="G73" s="18"/>
      <c r="H73" s="18"/>
      <c r="I73" s="18"/>
      <c r="J73" s="34"/>
      <c r="K73" s="34"/>
      <c r="L73" s="52"/>
      <c r="M73" s="52"/>
    </row>
    <row r="74" spans="2:13" ht="13.5" customHeight="1" x14ac:dyDescent="0.2">
      <c r="B74" s="53"/>
      <c r="C74" s="54"/>
      <c r="D74" s="54"/>
      <c r="E74" s="54"/>
      <c r="F74" s="18"/>
      <c r="G74" s="18"/>
      <c r="H74" s="18"/>
      <c r="I74" s="18"/>
      <c r="J74" s="34"/>
      <c r="K74" s="34"/>
      <c r="L74" s="52"/>
      <c r="M74" s="52"/>
    </row>
    <row r="75" spans="2:13" ht="12" customHeight="1" x14ac:dyDescent="0.2">
      <c r="B75" s="115" t="s">
        <v>89</v>
      </c>
      <c r="C75" s="54"/>
      <c r="D75" s="54"/>
      <c r="E75" s="54"/>
      <c r="F75" s="18"/>
      <c r="G75" s="18"/>
      <c r="H75" s="18"/>
      <c r="I75" s="18"/>
      <c r="J75" s="34"/>
      <c r="K75" s="34"/>
      <c r="L75" s="52"/>
      <c r="M75" s="52"/>
    </row>
    <row r="76" spans="2:13" ht="27" customHeight="1" x14ac:dyDescent="0.2">
      <c r="B76" s="116" t="s">
        <v>62</v>
      </c>
      <c r="C76" s="114">
        <f>8660241938.82</f>
        <v>8660241938.8199997</v>
      </c>
      <c r="D76" s="114">
        <f>7574571747.13998</f>
        <v>7574571747.1399803</v>
      </c>
      <c r="E76" s="23">
        <f>7594088059.99998</f>
        <v>7594088059.99998</v>
      </c>
      <c r="F76" s="23">
        <f>169984993.01</f>
        <v>169984993.00999999</v>
      </c>
      <c r="G76" s="23">
        <f>0</f>
        <v>0</v>
      </c>
      <c r="H76" s="23">
        <f>2243270.26</f>
        <v>2243270.2599999998</v>
      </c>
      <c r="I76" s="86">
        <f>31041121</f>
        <v>31041121</v>
      </c>
      <c r="J76" s="32">
        <f>IF($D$76=0,"",100*$D76/$D$76)</f>
        <v>100</v>
      </c>
      <c r="K76" s="32">
        <f>IF(C76=0,"",100*D76/C76)</f>
        <v>87.463742937556461</v>
      </c>
      <c r="L76" s="52"/>
    </row>
    <row r="77" spans="2:13" ht="12.75" customHeight="1" x14ac:dyDescent="0.2">
      <c r="B77" s="100" t="s">
        <v>51</v>
      </c>
      <c r="C77" s="62">
        <f>4700769643.59</f>
        <v>4700769643.5900002</v>
      </c>
      <c r="D77" s="62">
        <f>4223296631.25</f>
        <v>4223296631.25</v>
      </c>
      <c r="E77" s="62">
        <f>4242812944.11</f>
        <v>4242812944.1100001</v>
      </c>
      <c r="F77" s="62">
        <f>95441213.64</f>
        <v>95441213.640000001</v>
      </c>
      <c r="G77" s="62">
        <f>0</f>
        <v>0</v>
      </c>
      <c r="H77" s="62">
        <f>2243270.26</f>
        <v>2243270.2599999998</v>
      </c>
      <c r="I77" s="69">
        <f>29046597</f>
        <v>29046597</v>
      </c>
      <c r="J77" s="32">
        <f>IF($D$76=0,"",100*$D77/$D$76)</f>
        <v>55.75624302251331</v>
      </c>
      <c r="K77" s="32">
        <f>IF(C77=0,"",100*D77/C77)</f>
        <v>89.842663041549258</v>
      </c>
      <c r="L77" s="34"/>
    </row>
    <row r="78" spans="2:13" ht="12.75" customHeight="1" x14ac:dyDescent="0.2">
      <c r="B78" s="100" t="s">
        <v>52</v>
      </c>
      <c r="C78" s="62">
        <f t="shared" ref="C78:I78" si="6">C76-C77</f>
        <v>3959472295.2299995</v>
      </c>
      <c r="D78" s="62">
        <f t="shared" si="6"/>
        <v>3351275115.8899803</v>
      </c>
      <c r="E78" s="62">
        <f t="shared" si="6"/>
        <v>3351275115.8899798</v>
      </c>
      <c r="F78" s="62">
        <f t="shared" si="6"/>
        <v>74543779.36999999</v>
      </c>
      <c r="G78" s="62">
        <f t="shared" si="6"/>
        <v>0</v>
      </c>
      <c r="H78" s="62">
        <f t="shared" si="6"/>
        <v>0</v>
      </c>
      <c r="I78" s="71">
        <f t="shared" si="6"/>
        <v>1994524</v>
      </c>
      <c r="J78" s="32">
        <f>IF($D$76=0,"",100*$D78/$D$76)</f>
        <v>44.24375697748669</v>
      </c>
      <c r="K78" s="32">
        <f>IF(C78=0,"",100*D78/C78)</f>
        <v>84.639438440503355</v>
      </c>
      <c r="L78" s="34"/>
    </row>
    <row r="79" spans="2:13" ht="18" customHeight="1" x14ac:dyDescent="0.2">
      <c r="B79" s="99" t="str">
        <f>CONCATENATE("Informacja z wykonania budżetów województw za ",$D$115," ",$C$116," rok    ",$C$118,"")</f>
        <v xml:space="preserve">Informacja z wykonania budżetów województw za IV Kwartały 2025 rok    </v>
      </c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</row>
    <row r="80" spans="2:13" ht="6" customHeight="1" x14ac:dyDescent="0.2"/>
    <row r="81" spans="2:11" x14ac:dyDescent="0.2">
      <c r="B81" s="37" t="s">
        <v>16</v>
      </c>
      <c r="C81" s="70" t="s">
        <v>17</v>
      </c>
      <c r="D81" s="70" t="s">
        <v>1</v>
      </c>
      <c r="E81" s="153" t="s">
        <v>79</v>
      </c>
      <c r="F81" s="154"/>
      <c r="G81" s="154"/>
      <c r="H81" s="154"/>
      <c r="I81" s="155"/>
      <c r="J81" s="16" t="s">
        <v>21</v>
      </c>
      <c r="K81" s="16" t="s">
        <v>22</v>
      </c>
    </row>
    <row r="82" spans="2:11" x14ac:dyDescent="0.2">
      <c r="B82" s="37"/>
      <c r="C82" s="138" t="s">
        <v>53</v>
      </c>
      <c r="D82" s="152"/>
      <c r="E82" s="156"/>
      <c r="F82" s="157"/>
      <c r="G82" s="157"/>
      <c r="H82" s="157"/>
      <c r="I82" s="158"/>
      <c r="J82" s="162" t="s">
        <v>4</v>
      </c>
      <c r="K82" s="163"/>
    </row>
    <row r="83" spans="2:11" x14ac:dyDescent="0.2">
      <c r="B83" s="35">
        <v>1</v>
      </c>
      <c r="C83" s="89">
        <v>2</v>
      </c>
      <c r="D83" s="89">
        <v>3</v>
      </c>
      <c r="E83" s="159"/>
      <c r="F83" s="160"/>
      <c r="G83" s="160"/>
      <c r="H83" s="160"/>
      <c r="I83" s="161"/>
      <c r="J83" s="36">
        <v>4</v>
      </c>
      <c r="K83" s="36">
        <v>5</v>
      </c>
    </row>
    <row r="84" spans="2:11" ht="27" customHeight="1" x14ac:dyDescent="0.2">
      <c r="B84" s="90" t="s">
        <v>39</v>
      </c>
      <c r="C84" s="39">
        <f>4987543914.72</f>
        <v>4987543914.7200003</v>
      </c>
      <c r="D84" s="39">
        <f>7512900532.91</f>
        <v>7512900532.9099998</v>
      </c>
      <c r="E84" s="107" t="s">
        <v>79</v>
      </c>
      <c r="F84" s="107" t="s">
        <v>79</v>
      </c>
      <c r="G84" s="107" t="s">
        <v>79</v>
      </c>
      <c r="H84" s="107" t="s">
        <v>79</v>
      </c>
      <c r="I84" s="107" t="s">
        <v>79</v>
      </c>
      <c r="J84" s="38">
        <f>IF($D$84=0,"",100*$D84/$D$84)</f>
        <v>100</v>
      </c>
      <c r="K84" s="31">
        <f t="shared" ref="K84:K98" si="7">IF(C84=0,"",100*D84/C84)</f>
        <v>150.63327083169699</v>
      </c>
    </row>
    <row r="85" spans="2:11" ht="33.75" x14ac:dyDescent="0.2">
      <c r="B85" s="104" t="s">
        <v>94</v>
      </c>
      <c r="C85" s="40">
        <f>1268116445</f>
        <v>1268116445</v>
      </c>
      <c r="D85" s="40">
        <f>800507710</f>
        <v>800507710</v>
      </c>
      <c r="E85" s="108" t="s">
        <v>79</v>
      </c>
      <c r="F85" s="108" t="s">
        <v>79</v>
      </c>
      <c r="G85" s="108" t="s">
        <v>79</v>
      </c>
      <c r="H85" s="108" t="s">
        <v>79</v>
      </c>
      <c r="I85" s="108" t="s">
        <v>79</v>
      </c>
      <c r="J85" s="45">
        <f t="shared" ref="J85:J94" si="8">IF($D$84=0,"",100*$D85/$D$84)</f>
        <v>10.655108589464266</v>
      </c>
      <c r="K85" s="46">
        <f t="shared" si="7"/>
        <v>63.125725808247836</v>
      </c>
    </row>
    <row r="86" spans="2:11" ht="22.5" x14ac:dyDescent="0.2">
      <c r="B86" s="105" t="s">
        <v>63</v>
      </c>
      <c r="C86" s="64">
        <f>200000000</f>
        <v>200000000</v>
      </c>
      <c r="D86" s="64">
        <f>200000000</f>
        <v>200000000</v>
      </c>
      <c r="E86" s="108" t="s">
        <v>79</v>
      </c>
      <c r="F86" s="108" t="s">
        <v>79</v>
      </c>
      <c r="G86" s="108" t="s">
        <v>79</v>
      </c>
      <c r="H86" s="108" t="s">
        <v>79</v>
      </c>
      <c r="I86" s="108" t="s">
        <v>79</v>
      </c>
      <c r="J86" s="65">
        <f t="shared" si="8"/>
        <v>2.6620876866918035</v>
      </c>
      <c r="K86" s="66">
        <f t="shared" si="7"/>
        <v>100</v>
      </c>
    </row>
    <row r="87" spans="2:11" ht="12.75" customHeight="1" x14ac:dyDescent="0.2">
      <c r="B87" s="63" t="s">
        <v>64</v>
      </c>
      <c r="C87" s="64">
        <f>88956039</f>
        <v>88956039</v>
      </c>
      <c r="D87" s="64">
        <f>83677689.41</f>
        <v>83677689.409999996</v>
      </c>
      <c r="E87" s="108" t="s">
        <v>79</v>
      </c>
      <c r="F87" s="108" t="s">
        <v>79</v>
      </c>
      <c r="G87" s="108" t="s">
        <v>79</v>
      </c>
      <c r="H87" s="108" t="s">
        <v>79</v>
      </c>
      <c r="I87" s="108" t="s">
        <v>79</v>
      </c>
      <c r="J87" s="65">
        <f t="shared" si="8"/>
        <v>1.1137867331459106</v>
      </c>
      <c r="K87" s="66">
        <f t="shared" si="7"/>
        <v>94.066339228526132</v>
      </c>
    </row>
    <row r="88" spans="2:11" ht="46.5" customHeight="1" x14ac:dyDescent="0.2">
      <c r="B88" s="63" t="s">
        <v>73</v>
      </c>
      <c r="C88" s="64">
        <f>1494783621.45</f>
        <v>1494783621.45</v>
      </c>
      <c r="D88" s="64">
        <f>3209818489.5</f>
        <v>3209818489.5</v>
      </c>
      <c r="E88" s="108" t="s">
        <v>79</v>
      </c>
      <c r="F88" s="108" t="s">
        <v>79</v>
      </c>
      <c r="G88" s="108" t="s">
        <v>79</v>
      </c>
      <c r="H88" s="108" t="s">
        <v>79</v>
      </c>
      <c r="I88" s="108" t="s">
        <v>79</v>
      </c>
      <c r="J88" s="65">
        <f t="shared" si="8"/>
        <v>42.724091387068171</v>
      </c>
      <c r="K88" s="66">
        <f t="shared" si="7"/>
        <v>214.73465747412641</v>
      </c>
    </row>
    <row r="89" spans="2:11" ht="35.25" customHeight="1" x14ac:dyDescent="0.2">
      <c r="B89" s="63" t="s">
        <v>74</v>
      </c>
      <c r="C89" s="64">
        <f>522923352.46</f>
        <v>522923352.45999998</v>
      </c>
      <c r="D89" s="64">
        <f>684830763.4</f>
        <v>684830763.39999998</v>
      </c>
      <c r="E89" s="108" t="s">
        <v>79</v>
      </c>
      <c r="F89" s="108" t="s">
        <v>79</v>
      </c>
      <c r="G89" s="108" t="s">
        <v>79</v>
      </c>
      <c r="H89" s="108" t="s">
        <v>79</v>
      </c>
      <c r="I89" s="108" t="s">
        <v>79</v>
      </c>
      <c r="J89" s="65">
        <f t="shared" si="8"/>
        <v>9.1153977135744402</v>
      </c>
      <c r="K89" s="66">
        <f t="shared" si="7"/>
        <v>130.96197753998467</v>
      </c>
    </row>
    <row r="90" spans="2:11" ht="12.75" customHeight="1" x14ac:dyDescent="0.2">
      <c r="B90" s="63" t="s">
        <v>65</v>
      </c>
      <c r="C90" s="64">
        <f>0</f>
        <v>0</v>
      </c>
      <c r="D90" s="64">
        <f>0</f>
        <v>0</v>
      </c>
      <c r="E90" s="108" t="s">
        <v>79</v>
      </c>
      <c r="F90" s="108" t="s">
        <v>79</v>
      </c>
      <c r="G90" s="108" t="s">
        <v>79</v>
      </c>
      <c r="H90" s="108" t="s">
        <v>79</v>
      </c>
      <c r="I90" s="108" t="s">
        <v>79</v>
      </c>
      <c r="J90" s="65">
        <f t="shared" si="8"/>
        <v>0</v>
      </c>
      <c r="K90" s="66" t="str">
        <f t="shared" si="7"/>
        <v/>
      </c>
    </row>
    <row r="91" spans="2:11" ht="33.75" x14ac:dyDescent="0.2">
      <c r="B91" s="63" t="s">
        <v>68</v>
      </c>
      <c r="C91" s="64">
        <f>1290053000.55</f>
        <v>1290053000.55</v>
      </c>
      <c r="D91" s="64">
        <f>2411354424.34</f>
        <v>2411354424.3400002</v>
      </c>
      <c r="E91" s="108" t="s">
        <v>79</v>
      </c>
      <c r="F91" s="108" t="s">
        <v>79</v>
      </c>
      <c r="G91" s="108" t="s">
        <v>79</v>
      </c>
      <c r="H91" s="108" t="s">
        <v>79</v>
      </c>
      <c r="I91" s="108" t="s">
        <v>79</v>
      </c>
      <c r="J91" s="65">
        <f t="shared" si="8"/>
        <v>32.096184606426583</v>
      </c>
      <c r="K91" s="66">
        <f t="shared" si="7"/>
        <v>186.91901986290063</v>
      </c>
    </row>
    <row r="92" spans="2:11" ht="56.25" x14ac:dyDescent="0.2">
      <c r="B92" s="63" t="s">
        <v>95</v>
      </c>
      <c r="C92" s="64">
        <f>0</f>
        <v>0</v>
      </c>
      <c r="D92" s="64">
        <f>0</f>
        <v>0</v>
      </c>
      <c r="E92" s="108" t="s">
        <v>79</v>
      </c>
      <c r="F92" s="108" t="s">
        <v>79</v>
      </c>
      <c r="G92" s="108" t="s">
        <v>79</v>
      </c>
      <c r="H92" s="108" t="s">
        <v>79</v>
      </c>
      <c r="I92" s="108" t="s">
        <v>79</v>
      </c>
      <c r="J92" s="65">
        <f t="shared" si="8"/>
        <v>0</v>
      </c>
      <c r="K92" s="66" t="str">
        <f>IF(C92=0,"",100*D92/C92)</f>
        <v/>
      </c>
    </row>
    <row r="93" spans="2:11" x14ac:dyDescent="0.2">
      <c r="B93" s="63" t="s">
        <v>90</v>
      </c>
      <c r="C93" s="64">
        <f>322711456.26</f>
        <v>322711456.25999999</v>
      </c>
      <c r="D93" s="64">
        <f>322711456.26</f>
        <v>322711456.25999999</v>
      </c>
      <c r="E93" s="108" t="s">
        <v>79</v>
      </c>
      <c r="F93" s="108" t="s">
        <v>79</v>
      </c>
      <c r="G93" s="108" t="s">
        <v>79</v>
      </c>
      <c r="H93" s="108" t="s">
        <v>79</v>
      </c>
      <c r="I93" s="108" t="s">
        <v>79</v>
      </c>
      <c r="J93" s="65">
        <f t="shared" si="8"/>
        <v>4.2954309703206324</v>
      </c>
      <c r="K93" s="66">
        <f>IF(C93=0,"",100*D93/C93)</f>
        <v>100</v>
      </c>
    </row>
    <row r="94" spans="2:11" ht="22.5" x14ac:dyDescent="0.2">
      <c r="B94" s="105" t="s">
        <v>91</v>
      </c>
      <c r="C94" s="64">
        <f>322711456.26</f>
        <v>322711456.25999999</v>
      </c>
      <c r="D94" s="64">
        <f>322711456.26</f>
        <v>322711456.25999999</v>
      </c>
      <c r="E94" s="108" t="s">
        <v>79</v>
      </c>
      <c r="F94" s="108" t="s">
        <v>79</v>
      </c>
      <c r="G94" s="108" t="s">
        <v>79</v>
      </c>
      <c r="H94" s="108" t="s">
        <v>79</v>
      </c>
      <c r="I94" s="108" t="s">
        <v>79</v>
      </c>
      <c r="J94" s="65">
        <f t="shared" si="8"/>
        <v>4.2954309703206324</v>
      </c>
      <c r="K94" s="66">
        <f>IF(C94=0,"",100*D94/C94)</f>
        <v>100</v>
      </c>
    </row>
    <row r="95" spans="2:11" ht="27" customHeight="1" x14ac:dyDescent="0.2">
      <c r="B95" s="90" t="s">
        <v>40</v>
      </c>
      <c r="C95" s="43">
        <f>1827273421.97</f>
        <v>1827273421.97</v>
      </c>
      <c r="D95" s="43">
        <f>1805834007</f>
        <v>1805834007</v>
      </c>
      <c r="E95" s="107" t="s">
        <v>79</v>
      </c>
      <c r="F95" s="107" t="s">
        <v>79</v>
      </c>
      <c r="G95" s="107" t="s">
        <v>79</v>
      </c>
      <c r="H95" s="107" t="s">
        <v>79</v>
      </c>
      <c r="I95" s="107" t="s">
        <v>79</v>
      </c>
      <c r="J95" s="38">
        <f t="shared" ref="J95:J100" si="9">IF($D$95=0,"",100*$D95/$D$95)</f>
        <v>100</v>
      </c>
      <c r="K95" s="31">
        <f t="shared" si="7"/>
        <v>98.826699129302384</v>
      </c>
    </row>
    <row r="96" spans="2:11" ht="24.75" customHeight="1" x14ac:dyDescent="0.2">
      <c r="B96" s="104" t="s">
        <v>66</v>
      </c>
      <c r="C96" s="40">
        <f>921955091.48</f>
        <v>921955091.48000002</v>
      </c>
      <c r="D96" s="42">
        <f>918281898.91</f>
        <v>918281898.90999997</v>
      </c>
      <c r="E96" s="108" t="s">
        <v>79</v>
      </c>
      <c r="F96" s="108" t="s">
        <v>79</v>
      </c>
      <c r="G96" s="108" t="s">
        <v>79</v>
      </c>
      <c r="H96" s="108" t="s">
        <v>79</v>
      </c>
      <c r="I96" s="108" t="s">
        <v>79</v>
      </c>
      <c r="J96" s="45">
        <f t="shared" si="9"/>
        <v>50.85084760561827</v>
      </c>
      <c r="K96" s="46">
        <f t="shared" si="7"/>
        <v>99.601586606121614</v>
      </c>
    </row>
    <row r="97" spans="2:11" ht="12.75" customHeight="1" x14ac:dyDescent="0.2">
      <c r="B97" s="105" t="s">
        <v>67</v>
      </c>
      <c r="C97" s="64">
        <f>133950000</f>
        <v>133950000</v>
      </c>
      <c r="D97" s="64">
        <f>133950000</f>
        <v>133950000</v>
      </c>
      <c r="E97" s="108" t="s">
        <v>79</v>
      </c>
      <c r="F97" s="108" t="s">
        <v>79</v>
      </c>
      <c r="G97" s="108" t="s">
        <v>79</v>
      </c>
      <c r="H97" s="108" t="s">
        <v>79</v>
      </c>
      <c r="I97" s="108" t="s">
        <v>79</v>
      </c>
      <c r="J97" s="65">
        <f t="shared" si="9"/>
        <v>7.4176252900746267</v>
      </c>
      <c r="K97" s="66">
        <f t="shared" si="7"/>
        <v>100</v>
      </c>
    </row>
    <row r="98" spans="2:11" ht="12.75" customHeight="1" x14ac:dyDescent="0.2">
      <c r="B98" s="63" t="s">
        <v>75</v>
      </c>
      <c r="C98" s="64">
        <f>458812990.62</f>
        <v>458812990.62</v>
      </c>
      <c r="D98" s="64">
        <f>441046768.22</f>
        <v>441046768.22000003</v>
      </c>
      <c r="E98" s="108" t="s">
        <v>79</v>
      </c>
      <c r="F98" s="108" t="s">
        <v>79</v>
      </c>
      <c r="G98" s="108" t="s">
        <v>79</v>
      </c>
      <c r="H98" s="108" t="s">
        <v>79</v>
      </c>
      <c r="I98" s="108" t="s">
        <v>79</v>
      </c>
      <c r="J98" s="65">
        <f t="shared" si="9"/>
        <v>24.423439059756284</v>
      </c>
      <c r="K98" s="66">
        <f t="shared" si="7"/>
        <v>96.127785663611604</v>
      </c>
    </row>
    <row r="99" spans="2:11" ht="12.75" customHeight="1" x14ac:dyDescent="0.2">
      <c r="B99" s="63" t="s">
        <v>92</v>
      </c>
      <c r="C99" s="64">
        <f>446505339.87</f>
        <v>446505339.87</v>
      </c>
      <c r="D99" s="64">
        <f>446505339.87</f>
        <v>446505339.87</v>
      </c>
      <c r="E99" s="108" t="s">
        <v>79</v>
      </c>
      <c r="F99" s="108" t="s">
        <v>79</v>
      </c>
      <c r="G99" s="108" t="s">
        <v>79</v>
      </c>
      <c r="H99" s="108" t="s">
        <v>79</v>
      </c>
      <c r="I99" s="108" t="s">
        <v>79</v>
      </c>
      <c r="J99" s="65">
        <f t="shared" si="9"/>
        <v>24.725713334625446</v>
      </c>
      <c r="K99" s="66">
        <f>IF(C99=0,"",100*D99/C99)</f>
        <v>100</v>
      </c>
    </row>
    <row r="100" spans="2:11" ht="22.5" x14ac:dyDescent="0.2">
      <c r="B100" s="105" t="s">
        <v>93</v>
      </c>
      <c r="C100" s="64">
        <f>446505339.87</f>
        <v>446505339.87</v>
      </c>
      <c r="D100" s="64">
        <f>446505339.87</f>
        <v>446505339.87</v>
      </c>
      <c r="E100" s="108" t="s">
        <v>79</v>
      </c>
      <c r="F100" s="108" t="s">
        <v>79</v>
      </c>
      <c r="G100" s="108" t="s">
        <v>79</v>
      </c>
      <c r="H100" s="108" t="s">
        <v>79</v>
      </c>
      <c r="I100" s="108" t="s">
        <v>79</v>
      </c>
      <c r="J100" s="65">
        <f t="shared" si="9"/>
        <v>24.725713334625446</v>
      </c>
      <c r="K100" s="66">
        <f>IF(C100=0,"",100*D100/C100)</f>
        <v>100</v>
      </c>
    </row>
    <row r="102" spans="2:11" x14ac:dyDescent="0.2">
      <c r="B102" s="37" t="s">
        <v>16</v>
      </c>
      <c r="C102" s="70" t="s">
        <v>17</v>
      </c>
      <c r="D102" s="16" t="s">
        <v>1</v>
      </c>
    </row>
    <row r="103" spans="2:11" x14ac:dyDescent="0.2">
      <c r="B103" s="37"/>
      <c r="C103" s="138" t="s">
        <v>53</v>
      </c>
      <c r="D103" s="152"/>
    </row>
    <row r="104" spans="2:11" x14ac:dyDescent="0.2">
      <c r="B104" s="35">
        <v>1</v>
      </c>
      <c r="C104" s="89">
        <v>2</v>
      </c>
      <c r="D104" s="36">
        <v>3</v>
      </c>
    </row>
    <row r="105" spans="2:11" ht="36" customHeight="1" x14ac:dyDescent="0.2">
      <c r="B105" s="44" t="s">
        <v>96</v>
      </c>
      <c r="C105" s="41">
        <f>2834376777.15</f>
        <v>2834376777.1500001</v>
      </c>
      <c r="D105" s="24">
        <f>802871409.46</f>
        <v>802871409.46000004</v>
      </c>
    </row>
    <row r="106" spans="2:11" ht="33.75" x14ac:dyDescent="0.2">
      <c r="B106" s="106" t="s">
        <v>55</v>
      </c>
      <c r="C106" s="64">
        <f>73768621</f>
        <v>73768621</v>
      </c>
      <c r="D106" s="57">
        <f>73768621</f>
        <v>73768621</v>
      </c>
    </row>
    <row r="107" spans="2:11" ht="12.75" customHeight="1" x14ac:dyDescent="0.2">
      <c r="B107" s="106" t="s">
        <v>56</v>
      </c>
      <c r="C107" s="64">
        <f>1054864649</f>
        <v>1054864649</v>
      </c>
      <c r="D107" s="57">
        <f>379994378.8</f>
        <v>379994378.80000001</v>
      </c>
    </row>
    <row r="108" spans="2:11" ht="22.5" x14ac:dyDescent="0.2">
      <c r="B108" s="106" t="s">
        <v>57</v>
      </c>
      <c r="C108" s="64">
        <f>0</f>
        <v>0</v>
      </c>
      <c r="D108" s="57">
        <f>0</f>
        <v>0</v>
      </c>
    </row>
    <row r="109" spans="2:11" ht="56.25" x14ac:dyDescent="0.2">
      <c r="B109" s="106" t="s">
        <v>76</v>
      </c>
      <c r="C109" s="64">
        <f>581230192.97</f>
        <v>581230192.97000003</v>
      </c>
      <c r="D109" s="57">
        <f>140703654.13</f>
        <v>140703654.13</v>
      </c>
    </row>
    <row r="110" spans="2:11" ht="81" customHeight="1" x14ac:dyDescent="0.2">
      <c r="B110" s="106" t="s">
        <v>58</v>
      </c>
      <c r="C110" s="64">
        <f>418295675.03</f>
        <v>418295675.02999997</v>
      </c>
      <c r="D110" s="57">
        <f>63468358.37</f>
        <v>63468358.369999997</v>
      </c>
    </row>
    <row r="111" spans="2:11" ht="151.5" customHeight="1" x14ac:dyDescent="0.2">
      <c r="B111" s="106" t="s">
        <v>77</v>
      </c>
      <c r="C111" s="64">
        <f>465615832.76</f>
        <v>465615832.75999999</v>
      </c>
      <c r="D111" s="57">
        <f>144936397.16</f>
        <v>144936397.16</v>
      </c>
    </row>
    <row r="112" spans="2:11" ht="23.25" customHeight="1" x14ac:dyDescent="0.2">
      <c r="B112" s="106" t="s">
        <v>78</v>
      </c>
      <c r="C112" s="64">
        <f>25464569</f>
        <v>25464569</v>
      </c>
      <c r="D112" s="57">
        <f>0</f>
        <v>0</v>
      </c>
    </row>
    <row r="113" spans="2:4" ht="23.25" customHeight="1" x14ac:dyDescent="0.2">
      <c r="B113" s="119" t="s">
        <v>91</v>
      </c>
      <c r="C113" s="64">
        <f>215137237.39</f>
        <v>215137237.38999999</v>
      </c>
      <c r="D113" s="57">
        <f>0</f>
        <v>0</v>
      </c>
    </row>
    <row r="115" spans="2:4" x14ac:dyDescent="0.2">
      <c r="B115" s="33" t="s">
        <v>41</v>
      </c>
      <c r="C115" s="33">
        <f>4</f>
        <v>4</v>
      </c>
      <c r="D115" s="33" t="str">
        <f>IF(C115=1,"I Kwartał",IF(C115=2,"II Kwartały",IF(C115=3,"III Kwartały",IF(C115=4,"IV Kwartały",IF(C115="M1","Styczeń",IF(C115="M11","Listopad",IF(C115="M12","Grudzień","-")))))))</f>
        <v>IV Kwartały</v>
      </c>
    </row>
    <row r="116" spans="2:4" x14ac:dyDescent="0.2">
      <c r="B116" s="33" t="s">
        <v>42</v>
      </c>
      <c r="C116" s="110">
        <f>2025</f>
        <v>2025</v>
      </c>
      <c r="D116" s="34"/>
    </row>
    <row r="117" spans="2:4" x14ac:dyDescent="0.2">
      <c r="B117" s="33" t="s">
        <v>43</v>
      </c>
      <c r="C117" s="149" t="str">
        <f>"Mar 18 2026 12:00AM"</f>
        <v>Mar 18 2026 12:00AM</v>
      </c>
      <c r="D117" s="150"/>
    </row>
    <row r="118" spans="2:4" hidden="1" x14ac:dyDescent="0.2">
      <c r="B118" s="33" t="s">
        <v>48</v>
      </c>
      <c r="C118" s="111" t="str">
        <f>""</f>
        <v/>
      </c>
      <c r="D118" s="34"/>
    </row>
  </sheetData>
  <mergeCells count="29">
    <mergeCell ref="J3:L3"/>
    <mergeCell ref="E45:E47"/>
    <mergeCell ref="J48:K48"/>
    <mergeCell ref="K45:K47"/>
    <mergeCell ref="C117:D117"/>
    <mergeCell ref="F45:H45"/>
    <mergeCell ref="G46:H46"/>
    <mergeCell ref="C82:D82"/>
    <mergeCell ref="J45:J47"/>
    <mergeCell ref="D45:D47"/>
    <mergeCell ref="C103:D103"/>
    <mergeCell ref="E81:I83"/>
    <mergeCell ref="J82:K82"/>
    <mergeCell ref="B69:B70"/>
    <mergeCell ref="C69:D69"/>
    <mergeCell ref="E69:F69"/>
    <mergeCell ref="C3:D3"/>
    <mergeCell ref="I45:I47"/>
    <mergeCell ref="C48:I48"/>
    <mergeCell ref="B64:B65"/>
    <mergeCell ref="C64:D64"/>
    <mergeCell ref="E64:F64"/>
    <mergeCell ref="I61:J61"/>
    <mergeCell ref="B2:B3"/>
    <mergeCell ref="C45:C47"/>
    <mergeCell ref="B45:B48"/>
    <mergeCell ref="F46:F47"/>
    <mergeCell ref="E3:I4"/>
    <mergeCell ref="I60:J60"/>
  </mergeCells>
  <phoneticPr fontId="0" type="noConversion"/>
  <pageMargins left="0.19685039370078741" right="0.19685039370078741" top="0.35433070866141736" bottom="0.39370078740157483" header="0.31496062992125984" footer="0.19685039370078741"/>
  <pageSetup paperSize="9" scale="85" orientation="landscape" r:id="rId1"/>
  <headerFooter alignWithMargins="0">
    <oddFooter>&amp;RStrona &amp;P z &amp;N</oddFooter>
  </headerFooter>
  <rowBreaks count="4" manualBreakCount="4">
    <brk id="34" max="16383" man="1"/>
    <brk id="42" max="16383" man="1"/>
    <brk id="78" max="16383" man="1"/>
    <brk id="10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2025-02-07T10:35:46Z</cp:lastPrinted>
  <dcterms:created xsi:type="dcterms:W3CDTF">2001-05-17T08:58:03Z</dcterms:created>
  <dcterms:modified xsi:type="dcterms:W3CDTF">2026-03-25T10:05:37Z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2022-06-01T15:12:09.6306425+02:00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GRN-8d66ded2-1cb5-4e67-9970-33e716a7ea2e</vt:lpwstr>
  </property>
  <property fmtid="{D5CDD505-2E9C-101B-9397-08002B2CF9AE}" pid="7" name="MFHash">
    <vt:lpwstr>9/jS5PLDII7DMwS9o4x/sZmJJ/kSI9X7awFsxSFXuVM=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