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E4B5FB2D-C99C-4AA0-86F1-B3771565D6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4" i="4" l="1"/>
  <c r="C133" i="4"/>
  <c r="C132" i="4"/>
  <c r="C131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I93" i="4"/>
  <c r="H93" i="4"/>
  <c r="G93" i="4"/>
  <c r="F93" i="4"/>
  <c r="E93" i="4"/>
  <c r="D93" i="4"/>
  <c r="C93" i="4"/>
  <c r="I92" i="4"/>
  <c r="H92" i="4"/>
  <c r="G92" i="4"/>
  <c r="F92" i="4"/>
  <c r="E92" i="4"/>
  <c r="D92" i="4"/>
  <c r="C92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I69" i="4" s="1"/>
  <c r="I75" i="4" s="1"/>
  <c r="H66" i="4"/>
  <c r="G66" i="4"/>
  <c r="F66" i="4"/>
  <c r="E66" i="4"/>
  <c r="D66" i="4"/>
  <c r="J73" i="4" s="1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K50" i="4" s="1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K43" i="4" s="1"/>
  <c r="C43" i="4"/>
  <c r="D42" i="4"/>
  <c r="C42" i="4"/>
  <c r="D41" i="4"/>
  <c r="C41" i="4"/>
  <c r="D40" i="4"/>
  <c r="C40" i="4"/>
  <c r="K40" i="4" s="1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K17" i="4" s="1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H7" i="4" s="1"/>
  <c r="G6" i="4"/>
  <c r="G55" i="4" s="1"/>
  <c r="G57" i="4" s="1"/>
  <c r="F6" i="4"/>
  <c r="F55" i="4" s="1"/>
  <c r="F57" i="4" s="1"/>
  <c r="E6" i="4"/>
  <c r="E7" i="4" s="1"/>
  <c r="D6" i="4"/>
  <c r="C6" i="4"/>
  <c r="K6" i="4" s="1"/>
  <c r="K106" i="4"/>
  <c r="K13" i="4"/>
  <c r="K110" i="4"/>
  <c r="K16" i="4"/>
  <c r="J72" i="4"/>
  <c r="J66" i="4"/>
  <c r="J70" i="4"/>
  <c r="J71" i="4"/>
  <c r="D69" i="4"/>
  <c r="K69" i="4" s="1"/>
  <c r="D75" i="4"/>
  <c r="J75" i="4" s="1"/>
  <c r="J67" i="4"/>
  <c r="J74" i="4"/>
  <c r="J68" i="4"/>
  <c r="K38" i="4"/>
  <c r="J10" i="4"/>
  <c r="J39" i="4"/>
  <c r="J53" i="4"/>
  <c r="D55" i="4"/>
  <c r="J55" i="4" s="1"/>
  <c r="D57" i="4"/>
  <c r="J46" i="4"/>
  <c r="J17" i="4"/>
  <c r="J41" i="4"/>
  <c r="J6" i="4"/>
  <c r="J51" i="4"/>
  <c r="J16" i="4"/>
  <c r="J14" i="4"/>
  <c r="J35" i="4"/>
  <c r="J12" i="4"/>
  <c r="J52" i="4"/>
  <c r="J20" i="4"/>
  <c r="J32" i="4"/>
  <c r="J50" i="4"/>
  <c r="J44" i="4"/>
  <c r="J8" i="4"/>
  <c r="J49" i="4"/>
  <c r="J23" i="4"/>
  <c r="J33" i="4"/>
  <c r="J29" i="4"/>
  <c r="J56" i="4"/>
  <c r="J34" i="4"/>
  <c r="J48" i="4"/>
  <c r="J30" i="4"/>
  <c r="J18" i="4"/>
  <c r="J42" i="4"/>
  <c r="J19" i="4"/>
  <c r="J15" i="4"/>
  <c r="J21" i="4"/>
  <c r="J40" i="4"/>
  <c r="J47" i="4"/>
  <c r="J36" i="4"/>
  <c r="J38" i="4"/>
  <c r="J11" i="4"/>
  <c r="J45" i="4"/>
  <c r="J31" i="4"/>
  <c r="J24" i="4"/>
  <c r="J9" i="4"/>
  <c r="J13" i="4"/>
  <c r="J22" i="4"/>
  <c r="D76" i="4"/>
  <c r="J37" i="4"/>
  <c r="J28" i="4"/>
  <c r="K66" i="4"/>
  <c r="C69" i="4"/>
  <c r="C75" i="4" s="1"/>
  <c r="K46" i="4"/>
  <c r="F7" i="4"/>
  <c r="F25" i="4" s="1"/>
  <c r="K70" i="4"/>
  <c r="K39" i="4"/>
  <c r="E69" i="4"/>
  <c r="E75" i="4"/>
  <c r="K14" i="4"/>
  <c r="K111" i="4"/>
  <c r="K11" i="4"/>
  <c r="K51" i="4"/>
  <c r="K8" i="4"/>
  <c r="K74" i="4"/>
  <c r="K9" i="4"/>
  <c r="K33" i="4"/>
  <c r="K44" i="4"/>
  <c r="J93" i="4"/>
  <c r="J92" i="4"/>
  <c r="D94" i="4"/>
  <c r="J94" i="4"/>
  <c r="K28" i="4"/>
  <c r="D131" i="4"/>
  <c r="B59" i="4" s="1"/>
  <c r="K100" i="4"/>
  <c r="I7" i="4"/>
  <c r="I55" i="4"/>
  <c r="I57" i="4"/>
  <c r="K103" i="4"/>
  <c r="K104" i="4"/>
  <c r="K72" i="4"/>
  <c r="K105" i="4"/>
  <c r="K116" i="4"/>
  <c r="D27" i="4"/>
  <c r="J27" i="4" s="1"/>
  <c r="J111" i="4"/>
  <c r="J113" i="4"/>
  <c r="J115" i="4"/>
  <c r="J116" i="4"/>
  <c r="J112" i="4"/>
  <c r="J114" i="4"/>
  <c r="K23" i="4"/>
  <c r="K112" i="4"/>
  <c r="K20" i="4"/>
  <c r="K52" i="4"/>
  <c r="K92" i="4"/>
  <c r="C94" i="4"/>
  <c r="K94" i="4" s="1"/>
  <c r="K115" i="4"/>
  <c r="K21" i="4"/>
  <c r="E94" i="4"/>
  <c r="K18" i="4"/>
  <c r="K34" i="4"/>
  <c r="K45" i="4"/>
  <c r="K68" i="4"/>
  <c r="K29" i="4"/>
  <c r="K41" i="4"/>
  <c r="K53" i="4"/>
  <c r="F94" i="4"/>
  <c r="J105" i="4"/>
  <c r="J102" i="4"/>
  <c r="J106" i="4"/>
  <c r="J104" i="4"/>
  <c r="J100" i="4"/>
  <c r="J103" i="4"/>
  <c r="J110" i="4"/>
  <c r="J101" i="4"/>
  <c r="J107" i="4"/>
  <c r="K10" i="4"/>
  <c r="K22" i="4"/>
  <c r="G69" i="4"/>
  <c r="G75" i="4" s="1"/>
  <c r="K71" i="4"/>
  <c r="G94" i="4"/>
  <c r="K101" i="4"/>
  <c r="K107" i="4"/>
  <c r="K113" i="4"/>
  <c r="K30" i="4"/>
  <c r="K36" i="4"/>
  <c r="K42" i="4"/>
  <c r="K48" i="4"/>
  <c r="K56" i="4"/>
  <c r="H69" i="4"/>
  <c r="H75" i="4" s="1"/>
  <c r="H94" i="4"/>
  <c r="K47" i="4"/>
  <c r="I94" i="4"/>
  <c r="K102" i="4"/>
  <c r="K114" i="4"/>
  <c r="K15" i="4"/>
  <c r="K35" i="4"/>
  <c r="F69" i="4"/>
  <c r="F75" i="4"/>
  <c r="K12" i="4"/>
  <c r="K24" i="4"/>
  <c r="K73" i="4"/>
  <c r="C76" i="4"/>
  <c r="C55" i="4"/>
  <c r="C57" i="4" s="1"/>
  <c r="K19" i="4"/>
  <c r="K31" i="4"/>
  <c r="K37" i="4"/>
  <c r="K49" i="4"/>
  <c r="K67" i="4"/>
  <c r="K93" i="4"/>
  <c r="K55" i="4"/>
  <c r="B1" i="4"/>
  <c r="B95" i="4"/>
  <c r="D77" i="4" l="1"/>
  <c r="K75" i="4"/>
  <c r="J69" i="4"/>
  <c r="J57" i="4"/>
  <c r="J43" i="4"/>
  <c r="C27" i="4"/>
  <c r="C26" i="4" s="1"/>
  <c r="K32" i="4"/>
  <c r="D26" i="4"/>
  <c r="K27" i="4"/>
  <c r="H25" i="4"/>
  <c r="I25" i="4"/>
  <c r="E25" i="4"/>
  <c r="H55" i="4"/>
  <c r="H57" i="4" s="1"/>
  <c r="G7" i="4"/>
  <c r="G25" i="4" s="1"/>
  <c r="E55" i="4"/>
  <c r="E57" i="4" s="1"/>
  <c r="K57" i="4"/>
  <c r="C77" i="4"/>
  <c r="C7" i="4"/>
  <c r="J26" i="4" l="1"/>
  <c r="D7" i="4"/>
  <c r="K7" i="4" s="1"/>
  <c r="K26" i="4"/>
  <c r="C25" i="4"/>
  <c r="J7" i="4" l="1"/>
  <c r="L15" i="4"/>
  <c r="L22" i="4"/>
  <c r="D25" i="4"/>
  <c r="L11" i="4"/>
  <c r="L21" i="4"/>
  <c r="L8" i="4"/>
  <c r="L9" i="4"/>
  <c r="L13" i="4"/>
  <c r="L16" i="4"/>
  <c r="L24" i="4"/>
  <c r="L23" i="4"/>
  <c r="L12" i="4"/>
  <c r="L7" i="4"/>
  <c r="L19" i="4"/>
  <c r="L17" i="4"/>
  <c r="L14" i="4"/>
  <c r="L10" i="4"/>
  <c r="L20" i="4"/>
  <c r="L18" i="4"/>
  <c r="L25" i="4" l="1"/>
  <c r="J25" i="4"/>
  <c r="K25" i="4"/>
</calcChain>
</file>

<file path=xl/sharedStrings.xml><?xml version="1.0" encoding="utf-8"?>
<sst xmlns="http://schemas.openxmlformats.org/spreadsheetml/2006/main" count="384" uniqueCount="125">
  <si>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</si>
  <si>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</si>
  <si>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</si>
  <si>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</si>
  <si>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</si>
  <si>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</si>
  <si>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</si>
  <si>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</si>
  <si>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</si>
  <si>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</si>
  <si>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</si>
  <si>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</si>
  <si>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</si>
  <si>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</si>
  <si>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</si>
  <si>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</si>
  <si>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</si>
  <si>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</si>
  <si>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</si>
  <si>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</si>
  <si>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</si>
  <si>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</si>
  <si>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</si>
  <si>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</si>
  <si>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</si>
  <si>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</si>
  <si>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</si>
  <si>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</si>
  <si>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</si>
  <si>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</si>
  <si>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</si>
  <si>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</si>
  <si>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</si>
  <si>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</si>
  <si>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</si>
  <si>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</si>
  <si>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</si>
  <si>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</si>
  <si>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</si>
  <si>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</si>
  <si>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</si>
  <si>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</si>
  <si>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</si>
  <si>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</si>
  <si>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</si>
  <si>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</si>
  <si>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</si>
  <si>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</si>
  <si>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</si>
  <si>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</si>
  <si>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</si>
  <si>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</si>
  <si>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</si>
  <si>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</si>
  <si>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</si>
  <si>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</si>
  <si>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</si>
  <si>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</si>
  <si>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</si>
  <si>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</si>
  <si>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</si>
  <si>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</si>
  <si>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</si>
  <si>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</si>
  <si>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</si>
  <si>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</si>
  <si>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</si>
  <si>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</si>
  <si>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</si>
  <si>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</si>
  <si>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</si>
  <si>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</si>
  <si>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</si>
  <si>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</si>
  <si>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</si>
  <si>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</si>
  <si>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</si>
  <si>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</si>
  <si>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</si>
  <si>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</si>
  <si>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</si>
  <si>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</si>
  <si>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</si>
  <si>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</si>
  <si>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</si>
  <si>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</si>
  <si>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</si>
  <si>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</si>
  <si>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</si>
  <si>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</si>
  <si>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</si>
  <si>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</si>
  <si>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</si>
  <si>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</si>
  <si>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</si>
  <si>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</si>
  <si>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</si>
  <si>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</si>
  <si>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</si>
  <si>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</si>
  <si>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</si>
  <si>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</si>
  <si>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</si>
  <si>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</si>
  <si>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</si>
  <si>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</si>
  <si>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</si>
  <si>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</si>
  <si>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</si>
  <si>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</si>
  <si>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</si>
  <si>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</si>
  <si>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</si>
  <si>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</si>
  <si>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</si>
  <si>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</si>
  <si>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</si>
  <si>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</si>
  <si>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</si>
  <si>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Planowany</t>
  </si>
  <si>
    <t>Wynik budżetu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</si>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</sst>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8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8" fillId="4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4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7.7109375" style="1" bestFit="1" customWidth="1"/>
    <col min="11" max="11" width="7.5703125" style="1" bestFit="1" customWidth="1"/>
    <col min="12" max="13" width="8.140625" style="1" customWidth="1"/>
    <col min="14" max="16384" width="9.140625" style="1"/>
  </cols>
  <sheetData>
    <row r="1" spans="2:13" ht="15" x14ac:dyDescent="0.2">
      <c r="B1" s="90" t="str">
        <f>CONCATENATE("Informacja z wykonania budżetów gmin za ",$D$131," ",$C$132," rok     ",$C$134,"")</f>
        <v xml:space="preserve">Informacja z wykonania budżetów gmin za I Kwartał 2025 rok     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ht="0.75" customHeight="1" x14ac:dyDescent="0.2"/>
    <row r="3" spans="2:13" ht="69" customHeight="1" x14ac:dyDescent="0.2">
      <c r="B3" s="131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31"/>
      <c r="C4" s="128" t="s">
        <v>61</v>
      </c>
      <c r="D4" s="129"/>
      <c r="E4" s="129"/>
      <c r="F4" s="129"/>
      <c r="G4" s="129"/>
      <c r="H4" s="129"/>
      <c r="I4" s="130"/>
      <c r="J4" s="133" t="s">
        <v>4</v>
      </c>
      <c r="K4" s="133"/>
      <c r="L4" s="133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3" t="s">
        <v>5</v>
      </c>
      <c r="C6" s="45">
        <f>216869210457.06</f>
        <v>216869210457.06</v>
      </c>
      <c r="D6" s="45">
        <f>65904812385.71</f>
        <v>65904812385.709999</v>
      </c>
      <c r="E6" s="45">
        <f>1371367692.34</f>
        <v>1371367692.3399999</v>
      </c>
      <c r="F6" s="45">
        <f>203217200.07</f>
        <v>203217200.06999999</v>
      </c>
      <c r="G6" s="45">
        <f>23814198.9</f>
        <v>23814198.899999999</v>
      </c>
      <c r="H6" s="45">
        <f>66671566.1</f>
        <v>66671566.100000001</v>
      </c>
      <c r="I6" s="45">
        <f>536426.81</f>
        <v>536426.81000000006</v>
      </c>
      <c r="J6" s="46">
        <f t="shared" ref="J6:J57" si="0">IF($D$6=0,"",100*$D6/$D$6)</f>
        <v>100</v>
      </c>
      <c r="K6" s="46">
        <f t="shared" ref="K6:K53" si="1">IF(C6=0,"",100*D6/C6)</f>
        <v>30.389197363154103</v>
      </c>
      <c r="L6" s="46"/>
    </row>
    <row r="7" spans="2:13" ht="25.5" customHeight="1" x14ac:dyDescent="0.2">
      <c r="B7" s="84" t="s">
        <v>46</v>
      </c>
      <c r="C7" s="25">
        <f>C6-C26-C50</f>
        <v>140122896610.28998</v>
      </c>
      <c r="D7" s="25">
        <f>D6-D26-D50</f>
        <v>47856446115.889999</v>
      </c>
      <c r="E7" s="25">
        <f>E6</f>
        <v>1371367692.3399999</v>
      </c>
      <c r="F7" s="25">
        <f>F6</f>
        <v>203217200.06999999</v>
      </c>
      <c r="G7" s="25">
        <f>G6</f>
        <v>23814198.899999999</v>
      </c>
      <c r="H7" s="25">
        <f>H6</f>
        <v>66671566.100000001</v>
      </c>
      <c r="I7" s="25">
        <f>I6</f>
        <v>536426.81000000006</v>
      </c>
      <c r="J7" s="34">
        <f t="shared" si="0"/>
        <v>72.614494121929425</v>
      </c>
      <c r="K7" s="34">
        <f t="shared" si="1"/>
        <v>34.153194997808548</v>
      </c>
      <c r="L7" s="34">
        <f t="shared" ref="L7:L25" si="2">IF($D$7=0,"",100*$D7/$D$7)</f>
        <v>100</v>
      </c>
    </row>
    <row r="8" spans="2:13" ht="22.5" customHeight="1" outlineLevel="1" x14ac:dyDescent="0.2">
      <c r="B8" s="54" t="s">
        <v>101</v>
      </c>
      <c r="C8" s="24">
        <f>79543612034.38</f>
        <v>79543612034.380005</v>
      </c>
      <c r="D8" s="24">
        <f>30623497527</f>
        <v>30623497527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46.466254008546464</v>
      </c>
      <c r="K8" s="35">
        <f t="shared" si="1"/>
        <v>38.499002929064929</v>
      </c>
      <c r="L8" s="35">
        <f t="shared" si="2"/>
        <v>63.990329438257092</v>
      </c>
    </row>
    <row r="9" spans="2:13" ht="22.5" customHeight="1" outlineLevel="1" x14ac:dyDescent="0.2">
      <c r="B9" s="54" t="s">
        <v>102</v>
      </c>
      <c r="C9" s="24">
        <f>3260585394.36</f>
        <v>3260585394.3600001</v>
      </c>
      <c r="D9" s="24">
        <f>815786975.37</f>
        <v>815786975.37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1.2378261098682459</v>
      </c>
      <c r="K9" s="35">
        <f t="shared" si="1"/>
        <v>25.019647600124447</v>
      </c>
      <c r="L9" s="35">
        <f t="shared" si="2"/>
        <v>1.7046543184474587</v>
      </c>
    </row>
    <row r="10" spans="2:13" ht="13.35" customHeight="1" outlineLevel="1" x14ac:dyDescent="0.2">
      <c r="B10" s="54" t="s">
        <v>109</v>
      </c>
      <c r="C10" s="24">
        <f>22959029050.03</f>
        <v>22959029050.029999</v>
      </c>
      <c r="D10" s="24">
        <f>7015674308.46</f>
        <v>7015674308.46</v>
      </c>
      <c r="E10" s="24">
        <f>839831656.14</f>
        <v>839831656.13999999</v>
      </c>
      <c r="F10" s="24">
        <f>200267867.21</f>
        <v>200267867.21000001</v>
      </c>
      <c r="G10" s="24">
        <f>16447038.46</f>
        <v>16447038.460000001</v>
      </c>
      <c r="H10" s="24">
        <f>48064537.17</f>
        <v>48064537.170000002</v>
      </c>
      <c r="I10" s="24">
        <f>489613.94</f>
        <v>489613.94</v>
      </c>
      <c r="J10" s="35">
        <f t="shared" si="0"/>
        <v>10.645162400888942</v>
      </c>
      <c r="K10" s="35">
        <f t="shared" si="1"/>
        <v>30.557365005167032</v>
      </c>
      <c r="L10" s="35">
        <f t="shared" si="2"/>
        <v>14.659831387125408</v>
      </c>
    </row>
    <row r="11" spans="2:13" ht="13.35" customHeight="1" outlineLevel="1" x14ac:dyDescent="0.2">
      <c r="B11" s="54" t="s">
        <v>110</v>
      </c>
      <c r="C11" s="24">
        <f>2248876705.41</f>
        <v>2248876705.4099998</v>
      </c>
      <c r="D11" s="53">
        <f>922366938.69</f>
        <v>922366938.69000006</v>
      </c>
      <c r="E11" s="24">
        <f>94841466.37</f>
        <v>94841466.370000005</v>
      </c>
      <c r="F11" s="24">
        <f>1108555.37</f>
        <v>1108555.3700000001</v>
      </c>
      <c r="G11" s="24">
        <f>828547.46</f>
        <v>828547.46</v>
      </c>
      <c r="H11" s="24">
        <f>1268209.44</f>
        <v>1268209.44</v>
      </c>
      <c r="I11" s="24">
        <f>1252</f>
        <v>1252</v>
      </c>
      <c r="J11" s="35">
        <f t="shared" si="0"/>
        <v>1.3995441384338041</v>
      </c>
      <c r="K11" s="35">
        <f t="shared" si="1"/>
        <v>41.014562357781209</v>
      </c>
      <c r="L11" s="35">
        <f t="shared" si="2"/>
        <v>1.9273619617645243</v>
      </c>
    </row>
    <row r="12" spans="2:13" ht="13.35" customHeight="1" outlineLevel="1" x14ac:dyDescent="0.2">
      <c r="B12" s="54" t="s">
        <v>111</v>
      </c>
      <c r="C12" s="24">
        <f>450666315.17</f>
        <v>450666315.17000002</v>
      </c>
      <c r="D12" s="53">
        <f>141441275.61</f>
        <v>141441275.61000001</v>
      </c>
      <c r="E12" s="24">
        <f>1588048.45</f>
        <v>1588048.45</v>
      </c>
      <c r="F12" s="24">
        <f>284305.32</f>
        <v>284305.32</v>
      </c>
      <c r="G12" s="24">
        <f>37455.14</f>
        <v>37455.14</v>
      </c>
      <c r="H12" s="24">
        <f>114354.36</f>
        <v>114354.36</v>
      </c>
      <c r="I12" s="24">
        <f>0</f>
        <v>0</v>
      </c>
      <c r="J12" s="35">
        <f t="shared" si="0"/>
        <v>0.21461448791054966</v>
      </c>
      <c r="K12" s="35">
        <f t="shared" si="1"/>
        <v>31.384922912786514</v>
      </c>
      <c r="L12" s="35">
        <f t="shared" si="2"/>
        <v>0.29555323700277153</v>
      </c>
    </row>
    <row r="13" spans="2:13" ht="13.35" customHeight="1" outlineLevel="1" x14ac:dyDescent="0.2">
      <c r="B13" s="54" t="s">
        <v>19</v>
      </c>
      <c r="C13" s="24">
        <f>1120062015.31</f>
        <v>1120062015.3099999</v>
      </c>
      <c r="D13" s="53">
        <f>506207501.94</f>
        <v>506207501.94</v>
      </c>
      <c r="E13" s="24">
        <f>427083360.06</f>
        <v>427083360.06</v>
      </c>
      <c r="F13" s="24">
        <f>1556472.17</f>
        <v>1556472.17</v>
      </c>
      <c r="G13" s="24">
        <f>951592.44</f>
        <v>951592.44</v>
      </c>
      <c r="H13" s="24">
        <f>4739277.24</f>
        <v>4739277.24</v>
      </c>
      <c r="I13" s="24">
        <f>37348</f>
        <v>37348</v>
      </c>
      <c r="J13" s="35">
        <f t="shared" si="0"/>
        <v>0.76808882935195166</v>
      </c>
      <c r="K13" s="35">
        <f t="shared" si="1"/>
        <v>45.194595926002968</v>
      </c>
      <c r="L13" s="35">
        <f t="shared" si="2"/>
        <v>1.0577624187014623</v>
      </c>
    </row>
    <row r="14" spans="2:13" ht="22.5" outlineLevel="1" x14ac:dyDescent="0.2">
      <c r="B14" s="54" t="s">
        <v>24</v>
      </c>
      <c r="C14" s="24">
        <f>1737308550.56</f>
        <v>1737308550.5599999</v>
      </c>
      <c r="D14" s="53">
        <f>493606981.35</f>
        <v>493606981.35000002</v>
      </c>
      <c r="E14" s="24">
        <f>0</f>
        <v>0</v>
      </c>
      <c r="F14" s="24">
        <f>0</f>
        <v>0</v>
      </c>
      <c r="G14" s="24">
        <f>6957</f>
        <v>6957</v>
      </c>
      <c r="H14" s="24">
        <f>394986.45</f>
        <v>394986.45</v>
      </c>
      <c r="I14" s="24">
        <f>0</f>
        <v>0</v>
      </c>
      <c r="J14" s="35">
        <f t="shared" si="0"/>
        <v>0.74896955697430645</v>
      </c>
      <c r="K14" s="35">
        <f t="shared" si="1"/>
        <v>28.412165541399762</v>
      </c>
      <c r="L14" s="35">
        <f t="shared" si="2"/>
        <v>1.0314325893625129</v>
      </c>
    </row>
    <row r="15" spans="2:13" ht="33.75" outlineLevel="1" x14ac:dyDescent="0.2">
      <c r="B15" s="54" t="s">
        <v>112</v>
      </c>
      <c r="C15" s="24">
        <f>90262821.46</f>
        <v>90262821.459999993</v>
      </c>
      <c r="D15" s="53">
        <f>13403322.9</f>
        <v>13403322.9</v>
      </c>
      <c r="E15" s="24">
        <f>0</f>
        <v>0</v>
      </c>
      <c r="F15" s="24">
        <f>0</f>
        <v>0</v>
      </c>
      <c r="G15" s="24">
        <f>1896</f>
        <v>1896</v>
      </c>
      <c r="H15" s="24">
        <f>10105.23</f>
        <v>10105.23</v>
      </c>
      <c r="I15" s="24">
        <f>0</f>
        <v>0</v>
      </c>
      <c r="J15" s="35">
        <f t="shared" si="0"/>
        <v>2.0337396336942176E-2</v>
      </c>
      <c r="K15" s="35">
        <f t="shared" si="1"/>
        <v>14.849217743475577</v>
      </c>
      <c r="L15" s="35">
        <f t="shared" si="2"/>
        <v>2.8007351125786232E-2</v>
      </c>
    </row>
    <row r="16" spans="2:13" ht="13.35" customHeight="1" outlineLevel="1" x14ac:dyDescent="0.2">
      <c r="B16" s="54" t="s">
        <v>113</v>
      </c>
      <c r="C16" s="24">
        <f>192997650.09</f>
        <v>192997650.09</v>
      </c>
      <c r="D16" s="53">
        <f>52012653.39</f>
        <v>52012653.390000001</v>
      </c>
      <c r="E16" s="24">
        <f>0</f>
        <v>0</v>
      </c>
      <c r="F16" s="24">
        <f>0</f>
        <v>0</v>
      </c>
      <c r="G16" s="24">
        <f>88</f>
        <v>88</v>
      </c>
      <c r="H16" s="24">
        <f>0</f>
        <v>0</v>
      </c>
      <c r="I16" s="24">
        <f>0</f>
        <v>0</v>
      </c>
      <c r="J16" s="35">
        <f t="shared" si="0"/>
        <v>7.8920873161119551E-2</v>
      </c>
      <c r="K16" s="35">
        <f t="shared" si="1"/>
        <v>26.949889475724238</v>
      </c>
      <c r="L16" s="35">
        <f t="shared" si="2"/>
        <v>0.10868473865369203</v>
      </c>
    </row>
    <row r="17" spans="2:12" ht="13.35" customHeight="1" outlineLevel="1" x14ac:dyDescent="0.2">
      <c r="B17" s="54" t="s">
        <v>25</v>
      </c>
      <c r="C17" s="24">
        <f>439779036.32</f>
        <v>439779036.31999999</v>
      </c>
      <c r="D17" s="53">
        <f>229985158.96</f>
        <v>229985158.96000001</v>
      </c>
      <c r="E17" s="24">
        <f>0</f>
        <v>0</v>
      </c>
      <c r="F17" s="24">
        <f>0</f>
        <v>0</v>
      </c>
      <c r="G17" s="24">
        <f>0</f>
        <v>0</v>
      </c>
      <c r="H17" s="24">
        <f>135585.1</f>
        <v>135585.1</v>
      </c>
      <c r="I17" s="24">
        <f>0</f>
        <v>0</v>
      </c>
      <c r="J17" s="35">
        <f t="shared" si="0"/>
        <v>0.34896565309070993</v>
      </c>
      <c r="K17" s="35">
        <f t="shared" si="1"/>
        <v>52.295616654326842</v>
      </c>
      <c r="L17" s="35">
        <f t="shared" si="2"/>
        <v>0.48057300034997158</v>
      </c>
    </row>
    <row r="18" spans="2:12" ht="13.35" customHeight="1" outlineLevel="1" x14ac:dyDescent="0.2">
      <c r="B18" s="54" t="s">
        <v>114</v>
      </c>
      <c r="C18" s="24">
        <f>208679713.84</f>
        <v>208679713.84</v>
      </c>
      <c r="D18" s="53">
        <f>68893410.5</f>
        <v>68893410.5</v>
      </c>
      <c r="E18" s="24">
        <f>0</f>
        <v>0</v>
      </c>
      <c r="F18" s="24">
        <f>0</f>
        <v>0</v>
      </c>
      <c r="G18" s="24">
        <f>1318593.82</f>
        <v>1318593.82</v>
      </c>
      <c r="H18" s="24">
        <f>2985457</f>
        <v>2985457</v>
      </c>
      <c r="I18" s="24">
        <f>0</f>
        <v>0</v>
      </c>
      <c r="J18" s="35">
        <f t="shared" si="0"/>
        <v>0.10453471909881047</v>
      </c>
      <c r="K18" s="35">
        <f t="shared" si="1"/>
        <v>33.013947178795881</v>
      </c>
      <c r="L18" s="35">
        <f t="shared" si="2"/>
        <v>0.14395847600794787</v>
      </c>
    </row>
    <row r="19" spans="2:12" ht="13.35" customHeight="1" outlineLevel="1" x14ac:dyDescent="0.2">
      <c r="B19" s="54" t="s">
        <v>26</v>
      </c>
      <c r="C19" s="24">
        <f>114307949.43</f>
        <v>114307949.43000001</v>
      </c>
      <c r="D19" s="53">
        <f>16584324.47</f>
        <v>16584324.470000001</v>
      </c>
      <c r="E19" s="24">
        <f>217929.17</f>
        <v>217929.17</v>
      </c>
      <c r="F19" s="24">
        <f>0</f>
        <v>0</v>
      </c>
      <c r="G19" s="24">
        <f>0</f>
        <v>0</v>
      </c>
      <c r="H19" s="24">
        <f>156145.92</f>
        <v>156145.92000000001</v>
      </c>
      <c r="I19" s="24">
        <f>0</f>
        <v>0</v>
      </c>
      <c r="J19" s="35">
        <f t="shared" si="0"/>
        <v>2.5164056871810388E-2</v>
      </c>
      <c r="K19" s="35">
        <f t="shared" ref="K19:K25" si="3">IF(C19=0,"",100*D19/C19)</f>
        <v>14.508461181132395</v>
      </c>
      <c r="L19" s="35">
        <f t="shared" si="2"/>
        <v>3.4654316849686485E-2</v>
      </c>
    </row>
    <row r="20" spans="2:12" ht="13.35" customHeight="1" outlineLevel="1" x14ac:dyDescent="0.2">
      <c r="B20" s="54" t="s">
        <v>115</v>
      </c>
      <c r="C20" s="24">
        <f>70576199.68</f>
        <v>70576199.680000007</v>
      </c>
      <c r="D20" s="53">
        <f>11715320.42</f>
        <v>11715320.42</v>
      </c>
      <c r="E20" s="24">
        <f>77379.22</f>
        <v>77379.22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1.777612285948971E-2</v>
      </c>
      <c r="K20" s="35">
        <f t="shared" si="3"/>
        <v>16.599534224169773</v>
      </c>
      <c r="L20" s="35">
        <f t="shared" si="2"/>
        <v>2.4480130412588466E-2</v>
      </c>
    </row>
    <row r="21" spans="2:12" ht="13.35" customHeight="1" outlineLevel="1" x14ac:dyDescent="0.2">
      <c r="B21" s="54" t="s">
        <v>116</v>
      </c>
      <c r="C21" s="24">
        <f>103355955</f>
        <v>103355955</v>
      </c>
      <c r="D21" s="53">
        <f>20489300.69</f>
        <v>20489300.690000001</v>
      </c>
      <c r="E21" s="24">
        <f>143897.06</f>
        <v>143897.06</v>
      </c>
      <c r="F21" s="24">
        <f>0</f>
        <v>0</v>
      </c>
      <c r="G21" s="24">
        <f>0</f>
        <v>0</v>
      </c>
      <c r="H21" s="24">
        <f>0</f>
        <v>0</v>
      </c>
      <c r="I21" s="24">
        <f>0</f>
        <v>0</v>
      </c>
      <c r="J21" s="35">
        <f t="shared" si="0"/>
        <v>3.1089233013950061E-2</v>
      </c>
      <c r="K21" s="35">
        <f t="shared" si="3"/>
        <v>19.824015645736139</v>
      </c>
      <c r="L21" s="35">
        <f t="shared" si="2"/>
        <v>4.2814087448914941E-2</v>
      </c>
    </row>
    <row r="22" spans="2:12" ht="13.35" customHeight="1" outlineLevel="1" x14ac:dyDescent="0.2">
      <c r="B22" s="54" t="s">
        <v>117</v>
      </c>
      <c r="C22" s="24">
        <f>3029457</f>
        <v>3029457</v>
      </c>
      <c r="D22" s="53">
        <f>1533022.91</f>
        <v>1533022.91</v>
      </c>
      <c r="E22" s="24">
        <f>757675.6</f>
        <v>757675.6</v>
      </c>
      <c r="F22" s="24">
        <f>0</f>
        <v>0</v>
      </c>
      <c r="G22" s="24">
        <f>0</f>
        <v>0</v>
      </c>
      <c r="H22" s="24">
        <f>0</f>
        <v>0</v>
      </c>
      <c r="I22" s="24">
        <f>0</f>
        <v>0</v>
      </c>
      <c r="J22" s="35">
        <f t="shared" si="0"/>
        <v>2.3261167955807762E-3</v>
      </c>
      <c r="K22" s="35">
        <f t="shared" si="3"/>
        <v>50.60388412840981</v>
      </c>
      <c r="L22" s="35">
        <f t="shared" si="2"/>
        <v>3.2033780909840339E-3</v>
      </c>
    </row>
    <row r="23" spans="2:12" ht="13.35" customHeight="1" outlineLevel="1" x14ac:dyDescent="0.2">
      <c r="B23" s="54" t="s">
        <v>118</v>
      </c>
      <c r="C23" s="24">
        <f>1054175</f>
        <v>1054175</v>
      </c>
      <c r="D23" s="53">
        <f>400556</f>
        <v>400556</v>
      </c>
      <c r="E23" s="24">
        <f>0</f>
        <v>0</v>
      </c>
      <c r="F23" s="24">
        <f>0</f>
        <v>0</v>
      </c>
      <c r="G23" s="24">
        <f>0</f>
        <v>0</v>
      </c>
      <c r="H23" s="24">
        <f>0</f>
        <v>0</v>
      </c>
      <c r="I23" s="24">
        <f>0</f>
        <v>0</v>
      </c>
      <c r="J23" s="35">
        <f t="shared" si="0"/>
        <v>6.0777959226366251E-4</v>
      </c>
      <c r="K23" s="35">
        <f t="shared" si="3"/>
        <v>37.99710674223919</v>
      </c>
      <c r="L23" s="35">
        <f t="shared" si="2"/>
        <v>8.3699487218504823E-4</v>
      </c>
    </row>
    <row r="24" spans="2:12" ht="13.35" customHeight="1" outlineLevel="1" x14ac:dyDescent="0.2">
      <c r="B24" s="54" t="s">
        <v>20</v>
      </c>
      <c r="C24" s="24">
        <f>5123339155.55</f>
        <v>5123339155.5500002</v>
      </c>
      <c r="D24" s="53">
        <f>949166689.11</f>
        <v>949166689.11000001</v>
      </c>
      <c r="E24" s="24">
        <f>0</f>
        <v>0</v>
      </c>
      <c r="F24" s="24">
        <f>0</f>
        <v>0</v>
      </c>
      <c r="G24" s="24">
        <f>20986.65</f>
        <v>20986.65</v>
      </c>
      <c r="H24" s="24">
        <f>2082.95</f>
        <v>2082.9499999999998</v>
      </c>
      <c r="I24" s="24">
        <f>0</f>
        <v>0</v>
      </c>
      <c r="J24" s="35">
        <f t="shared" si="0"/>
        <v>1.4402084684726388</v>
      </c>
      <c r="K24" s="35">
        <f t="shared" si="3"/>
        <v>18.526329417051937</v>
      </c>
      <c r="L24" s="35">
        <f t="shared" si="2"/>
        <v>1.9833622555496109</v>
      </c>
    </row>
    <row r="25" spans="2:12" ht="13.35" customHeight="1" outlineLevel="1" x14ac:dyDescent="0.2">
      <c r="B25" s="54" t="s">
        <v>21</v>
      </c>
      <c r="C25" s="24">
        <f>C7-C8-C9-C10-C11-C12-C13-C14-C15-C16-C17-C18-C19-C20-C21-C22-C23-C24</f>
        <v>22455374431.699974</v>
      </c>
      <c r="D25" s="24">
        <f t="shared" ref="D25:I25" si="4">D7-D8-D9-D10-D11-D12-D13-D14-D15-D16-D17-D18-D19-D20-D21-D22-D23-D24</f>
        <v>5973680848.119998</v>
      </c>
      <c r="E25" s="24">
        <f t="shared" si="4"/>
        <v>6826280.2699999344</v>
      </c>
      <c r="F25" s="24">
        <f t="shared" si="4"/>
        <v>-1.5599653124809265E-8</v>
      </c>
      <c r="G25" s="24">
        <f t="shared" si="4"/>
        <v>4201043.9299999978</v>
      </c>
      <c r="H25" s="24">
        <f t="shared" si="4"/>
        <v>8800825.2400000002</v>
      </c>
      <c r="I25" s="24">
        <f t="shared" si="4"/>
        <v>8212.8700000000536</v>
      </c>
      <c r="J25" s="35">
        <f t="shared" si="0"/>
        <v>9.0641041706618353</v>
      </c>
      <c r="K25" s="35">
        <f t="shared" si="3"/>
        <v>26.602454865713689</v>
      </c>
      <c r="L25" s="35">
        <f t="shared" si="2"/>
        <v>12.482499919977402</v>
      </c>
    </row>
    <row r="26" spans="2:12" ht="27" customHeight="1" x14ac:dyDescent="0.2">
      <c r="B26" s="84" t="s">
        <v>85</v>
      </c>
      <c r="C26" s="45">
        <f>C27+C46+C48</f>
        <v>52595927890.450005</v>
      </c>
      <c r="D26" s="45">
        <f>D27+D46+D48</f>
        <v>8948477297.3999996</v>
      </c>
      <c r="E26" s="41" t="s">
        <v>45</v>
      </c>
      <c r="F26" s="41" t="s">
        <v>45</v>
      </c>
      <c r="G26" s="41" t="s">
        <v>45</v>
      </c>
      <c r="H26" s="41" t="s">
        <v>45</v>
      </c>
      <c r="I26" s="41" t="s">
        <v>45</v>
      </c>
      <c r="J26" s="46">
        <f t="shared" si="0"/>
        <v>13.577881452766686</v>
      </c>
      <c r="K26" s="46">
        <f t="shared" si="1"/>
        <v>17.013631389940361</v>
      </c>
      <c r="L26" s="29"/>
    </row>
    <row r="27" spans="2:12" ht="27" customHeight="1" outlineLevel="1" x14ac:dyDescent="0.2">
      <c r="B27" s="92" t="s">
        <v>47</v>
      </c>
      <c r="C27" s="45">
        <f>C28+C30+C32+C34+C36+C38+C40+C42+C44</f>
        <v>41697267160.390007</v>
      </c>
      <c r="D27" s="45">
        <f>D28+D30+D32+D34+D36+D38+D40+D42+D44</f>
        <v>8002152493.9899998</v>
      </c>
      <c r="E27" s="41" t="s">
        <v>45</v>
      </c>
      <c r="F27" s="41" t="s">
        <v>45</v>
      </c>
      <c r="G27" s="41" t="s">
        <v>45</v>
      </c>
      <c r="H27" s="41" t="s">
        <v>45</v>
      </c>
      <c r="I27" s="41" t="s">
        <v>45</v>
      </c>
      <c r="J27" s="46">
        <f t="shared" si="0"/>
        <v>12.141985090796025</v>
      </c>
      <c r="K27" s="46">
        <f t="shared" si="1"/>
        <v>19.191071835018441</v>
      </c>
      <c r="L27" s="29"/>
    </row>
    <row r="28" spans="2:12" ht="22.5" customHeight="1" outlineLevel="1" x14ac:dyDescent="0.2">
      <c r="B28" s="82" t="s">
        <v>9</v>
      </c>
      <c r="C28" s="24">
        <f>12329381843.28</f>
        <v>12329381843.280001</v>
      </c>
      <c r="D28" s="24">
        <f>4191966969.82</f>
        <v>4191966969.8200002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6.3606386515242326</v>
      </c>
      <c r="K28" s="35">
        <f t="shared" si="1"/>
        <v>33.999814614426818</v>
      </c>
      <c r="L28" s="29"/>
    </row>
    <row r="29" spans="2:12" ht="13.5" customHeight="1" outlineLevel="1" x14ac:dyDescent="0.2">
      <c r="B29" s="93" t="s">
        <v>6</v>
      </c>
      <c r="C29" s="24">
        <f>2030450.77</f>
        <v>2030450.77</v>
      </c>
      <c r="D29" s="24">
        <f>85993.77</f>
        <v>85993.77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1.3048177650020265E-4</v>
      </c>
      <c r="K29" s="35">
        <f t="shared" si="1"/>
        <v>4.2352058602238358</v>
      </c>
      <c r="L29" s="29"/>
    </row>
    <row r="30" spans="2:12" ht="13.5" customHeight="1" outlineLevel="1" x14ac:dyDescent="0.2">
      <c r="B30" s="82" t="s">
        <v>7</v>
      </c>
      <c r="C30" s="24">
        <f>4121288842.6</f>
        <v>4121288842.5999999</v>
      </c>
      <c r="D30" s="24">
        <f>830901365.56</f>
        <v>830901365.55999994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1.2607597768386374</v>
      </c>
      <c r="K30" s="35">
        <f t="shared" si="1"/>
        <v>20.161201927206072</v>
      </c>
      <c r="L30" s="29"/>
    </row>
    <row r="31" spans="2:12" ht="13.5" customHeight="1" outlineLevel="1" x14ac:dyDescent="0.2">
      <c r="B31" s="93" t="s">
        <v>6</v>
      </c>
      <c r="C31" s="24">
        <f>851707828.28</f>
        <v>851707828.27999997</v>
      </c>
      <c r="D31" s="24">
        <f>34990109.71</f>
        <v>34990109.710000001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5.3091888806570418E-2</v>
      </c>
      <c r="K31" s="35">
        <f t="shared" si="1"/>
        <v>4.1082292011641535</v>
      </c>
      <c r="L31" s="29"/>
    </row>
    <row r="32" spans="2:12" ht="35.1" customHeight="1" outlineLevel="1" x14ac:dyDescent="0.2">
      <c r="B32" s="82" t="s">
        <v>10</v>
      </c>
      <c r="C32" s="24">
        <f>32260071.63</f>
        <v>32260071.629999999</v>
      </c>
      <c r="D32" s="24">
        <f>5415538.25</f>
        <v>5415538.25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8.2172121487963448E-3</v>
      </c>
      <c r="K32" s="35">
        <f t="shared" si="1"/>
        <v>16.787124071243113</v>
      </c>
      <c r="L32" s="29"/>
    </row>
    <row r="33" spans="2:12" ht="13.5" customHeight="1" outlineLevel="1" x14ac:dyDescent="0.2">
      <c r="B33" s="93" t="s">
        <v>6</v>
      </c>
      <c r="C33" s="24">
        <f>21842862.88</f>
        <v>21842862.879999999</v>
      </c>
      <c r="D33" s="24">
        <f>1031047.2</f>
        <v>1031047.2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1.5644490328957522E-3</v>
      </c>
      <c r="K33" s="35">
        <f t="shared" si="1"/>
        <v>4.7202933318052311</v>
      </c>
      <c r="L33" s="29"/>
    </row>
    <row r="34" spans="2:12" ht="24" customHeight="1" outlineLevel="1" x14ac:dyDescent="0.2">
      <c r="B34" s="82" t="s">
        <v>11</v>
      </c>
      <c r="C34" s="24">
        <f>775709369.64</f>
        <v>775709369.63999999</v>
      </c>
      <c r="D34" s="24">
        <f>126829663.23</f>
        <v>126829663.23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0.19244370576115957</v>
      </c>
      <c r="K34" s="35">
        <f t="shared" si="1"/>
        <v>16.350152285624777</v>
      </c>
      <c r="L34" s="29"/>
    </row>
    <row r="35" spans="2:12" ht="13.5" customHeight="1" outlineLevel="1" x14ac:dyDescent="0.2">
      <c r="B35" s="93" t="s">
        <v>6</v>
      </c>
      <c r="C35" s="24">
        <f>227262421.3</f>
        <v>227262421.30000001</v>
      </c>
      <c r="D35" s="24">
        <f>7038962.96</f>
        <v>7038962.96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1.0680499200580751E-2</v>
      </c>
      <c r="K35" s="35">
        <f t="shared" si="1"/>
        <v>3.0972841527144284</v>
      </c>
      <c r="L35" s="29"/>
    </row>
    <row r="36" spans="2:12" ht="35.1" customHeight="1" outlineLevel="1" x14ac:dyDescent="0.2">
      <c r="B36" s="82" t="s">
        <v>62</v>
      </c>
      <c r="C36" s="24">
        <f>727543837.83</f>
        <v>727543837.83000004</v>
      </c>
      <c r="D36" s="24">
        <f>105061181.25</f>
        <v>105061181.25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0.15941351996440883</v>
      </c>
      <c r="K36" s="35">
        <f t="shared" si="1"/>
        <v>14.440529324440364</v>
      </c>
      <c r="L36" s="29"/>
    </row>
    <row r="37" spans="2:12" ht="13.5" customHeight="1" outlineLevel="1" x14ac:dyDescent="0.2">
      <c r="B37" s="93" t="s">
        <v>6</v>
      </c>
      <c r="C37" s="24">
        <f>679426392.01</f>
        <v>679426392.00999999</v>
      </c>
      <c r="D37" s="24">
        <f>91205209.39</f>
        <v>91205209.390000001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0.13838930130962004</v>
      </c>
      <c r="K37" s="35">
        <f t="shared" si="1"/>
        <v>13.423854366354615</v>
      </c>
      <c r="L37" s="29"/>
    </row>
    <row r="38" spans="2:12" ht="13.5" customHeight="1" outlineLevel="1" x14ac:dyDescent="0.2">
      <c r="B38" s="82" t="s">
        <v>8</v>
      </c>
      <c r="C38" s="24">
        <f>584661133.89</f>
        <v>584661133.88999999</v>
      </c>
      <c r="D38" s="24">
        <f>36645565.79</f>
        <v>36645565.789999999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5.5603778333410112E-2</v>
      </c>
      <c r="K38" s="35">
        <f t="shared" si="1"/>
        <v>6.2678299729249005</v>
      </c>
      <c r="L38" s="29"/>
    </row>
    <row r="39" spans="2:12" ht="13.5" customHeight="1" outlineLevel="1" x14ac:dyDescent="0.2">
      <c r="B39" s="94" t="s">
        <v>6</v>
      </c>
      <c r="C39" s="22">
        <f>558176769.35</f>
        <v>558176769.35000002</v>
      </c>
      <c r="D39" s="22">
        <f>29911334.64</f>
        <v>29911334.640000001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4.5385660860307084E-2</v>
      </c>
      <c r="K39" s="35">
        <f t="shared" si="1"/>
        <v>5.3587566309561607</v>
      </c>
      <c r="L39" s="29"/>
    </row>
    <row r="40" spans="2:12" ht="71.099999999999994" customHeight="1" outlineLevel="1" x14ac:dyDescent="0.2">
      <c r="B40" s="82" t="s">
        <v>79</v>
      </c>
      <c r="C40" s="22">
        <f>7876788.29</f>
        <v>7876788.29</v>
      </c>
      <c r="D40" s="22">
        <f>0</f>
        <v>0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0</v>
      </c>
      <c r="K40" s="35">
        <f>IF(C40=0,"",100*D40/C40)</f>
        <v>0</v>
      </c>
      <c r="L40" s="29"/>
    </row>
    <row r="41" spans="2:12" ht="13.5" customHeight="1" outlineLevel="1" x14ac:dyDescent="0.2">
      <c r="B41" s="94" t="s">
        <v>80</v>
      </c>
      <c r="C41" s="22">
        <f>7316788.29</f>
        <v>7316788.29</v>
      </c>
      <c r="D41" s="22">
        <f>0</f>
        <v>0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0</v>
      </c>
      <c r="K41" s="35">
        <f>IF(C41=0,"",100*D41/C41)</f>
        <v>0</v>
      </c>
      <c r="L41" s="29"/>
    </row>
    <row r="42" spans="2:12" ht="48" customHeight="1" outlineLevel="1" x14ac:dyDescent="0.2">
      <c r="B42" s="95" t="s">
        <v>77</v>
      </c>
      <c r="C42" s="22">
        <f>22725465093.15</f>
        <v>22725465093.150002</v>
      </c>
      <c r="D42" s="22">
        <f>2391647698.27</f>
        <v>2391647698.27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3.6289424272582802</v>
      </c>
      <c r="K42" s="35">
        <f t="shared" si="1"/>
        <v>10.524086915127207</v>
      </c>
      <c r="L42" s="29"/>
    </row>
    <row r="43" spans="2:12" ht="13.5" customHeight="1" outlineLevel="1" x14ac:dyDescent="0.2">
      <c r="B43" s="94" t="s">
        <v>6</v>
      </c>
      <c r="C43" s="22">
        <f>22646935582.8</f>
        <v>22646935582.799999</v>
      </c>
      <c r="D43" s="22">
        <f>2351781263.04</f>
        <v>2351781263.04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3.5684514952809905</v>
      </c>
      <c r="K43" s="35">
        <f t="shared" si="1"/>
        <v>10.384545204544768</v>
      </c>
      <c r="L43" s="29"/>
    </row>
    <row r="44" spans="2:12" ht="22.5" outlineLevel="1" x14ac:dyDescent="0.2">
      <c r="B44" s="95" t="s">
        <v>90</v>
      </c>
      <c r="C44" s="22">
        <f>393080180.08</f>
        <v>393080180.07999998</v>
      </c>
      <c r="D44" s="22">
        <f>313684511.82</f>
        <v>313684511.81999999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0.47596601896709984</v>
      </c>
      <c r="K44" s="35">
        <f t="shared" si="1"/>
        <v>79.801660759430476</v>
      </c>
      <c r="L44" s="29"/>
    </row>
    <row r="45" spans="2:12" ht="13.5" customHeight="1" outlineLevel="1" x14ac:dyDescent="0.2">
      <c r="B45" s="94" t="s">
        <v>6</v>
      </c>
      <c r="C45" s="22">
        <f>933073.55</f>
        <v>933073.55</v>
      </c>
      <c r="D45" s="22">
        <f>33975.55</f>
        <v>33975.550000000003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5.1552456899743561E-5</v>
      </c>
      <c r="K45" s="35">
        <f t="shared" si="1"/>
        <v>3.6412510032033385</v>
      </c>
      <c r="L45" s="29"/>
    </row>
    <row r="46" spans="2:12" outlineLevel="1" x14ac:dyDescent="0.2">
      <c r="B46" s="92" t="s">
        <v>73</v>
      </c>
      <c r="C46" s="45">
        <f>861169494.31</f>
        <v>861169494.30999994</v>
      </c>
      <c r="D46" s="45">
        <f>75892587.72</f>
        <v>75892587.719999999</v>
      </c>
      <c r="E46" s="41" t="s">
        <v>45</v>
      </c>
      <c r="F46" s="41" t="s">
        <v>45</v>
      </c>
      <c r="G46" s="41" t="s">
        <v>45</v>
      </c>
      <c r="H46" s="41" t="s">
        <v>45</v>
      </c>
      <c r="I46" s="41" t="s">
        <v>45</v>
      </c>
      <c r="J46" s="46">
        <f t="shared" si="0"/>
        <v>0.1151548498095044</v>
      </c>
      <c r="K46" s="46">
        <f t="shared" si="1"/>
        <v>8.8127352654088007</v>
      </c>
      <c r="L46" s="29"/>
    </row>
    <row r="47" spans="2:12" ht="13.5" customHeight="1" outlineLevel="1" x14ac:dyDescent="0.2">
      <c r="B47" s="94" t="s">
        <v>74</v>
      </c>
      <c r="C47" s="22">
        <f>736856788.24</f>
        <v>736856788.24000001</v>
      </c>
      <c r="D47" s="22">
        <f>47528352.02</f>
        <v>47528352.020000003</v>
      </c>
      <c r="E47" s="24" t="s">
        <v>45</v>
      </c>
      <c r="F47" s="24" t="s">
        <v>45</v>
      </c>
      <c r="G47" s="24" t="s">
        <v>45</v>
      </c>
      <c r="H47" s="24" t="s">
        <v>45</v>
      </c>
      <c r="I47" s="24" t="s">
        <v>45</v>
      </c>
      <c r="J47" s="35">
        <f t="shared" si="0"/>
        <v>7.2116663866424222E-2</v>
      </c>
      <c r="K47" s="35">
        <f t="shared" si="1"/>
        <v>6.4501478141393802</v>
      </c>
      <c r="L47" s="29"/>
    </row>
    <row r="48" spans="2:12" ht="13.5" customHeight="1" outlineLevel="1" x14ac:dyDescent="0.2">
      <c r="B48" s="92" t="s">
        <v>75</v>
      </c>
      <c r="C48" s="41">
        <f>10037491235.75</f>
        <v>10037491235.75</v>
      </c>
      <c r="D48" s="41">
        <f>870432215.69</f>
        <v>870432215.69000006</v>
      </c>
      <c r="E48" s="41" t="s">
        <v>45</v>
      </c>
      <c r="F48" s="41" t="s">
        <v>45</v>
      </c>
      <c r="G48" s="41" t="s">
        <v>45</v>
      </c>
      <c r="H48" s="41" t="s">
        <v>45</v>
      </c>
      <c r="I48" s="41" t="s">
        <v>45</v>
      </c>
      <c r="J48" s="55">
        <f t="shared" si="0"/>
        <v>1.3207415121611574</v>
      </c>
      <c r="K48" s="55">
        <f t="shared" si="1"/>
        <v>8.6718104678370995</v>
      </c>
      <c r="L48" s="29"/>
    </row>
    <row r="49" spans="1:26" ht="13.5" customHeight="1" outlineLevel="1" x14ac:dyDescent="0.2">
      <c r="B49" s="94" t="s">
        <v>76</v>
      </c>
      <c r="C49" s="22">
        <f>8602310072.9</f>
        <v>8602310072.8999996</v>
      </c>
      <c r="D49" s="22">
        <f>563865363.24</f>
        <v>563865363.24000001</v>
      </c>
      <c r="E49" s="24" t="s">
        <v>45</v>
      </c>
      <c r="F49" s="24" t="s">
        <v>45</v>
      </c>
      <c r="G49" s="24" t="s">
        <v>45</v>
      </c>
      <c r="H49" s="24" t="s">
        <v>45</v>
      </c>
      <c r="I49" s="24" t="s">
        <v>45</v>
      </c>
      <c r="J49" s="35">
        <f t="shared" si="0"/>
        <v>0.85557540159580481</v>
      </c>
      <c r="K49" s="35">
        <f t="shared" si="1"/>
        <v>6.5548132822641962</v>
      </c>
      <c r="L49" s="29"/>
    </row>
    <row r="50" spans="1:26" s="5" customFormat="1" ht="25.5" customHeight="1" x14ac:dyDescent="0.2">
      <c r="B50" s="84" t="s">
        <v>103</v>
      </c>
      <c r="C50" s="25">
        <f>24150385956.32</f>
        <v>24150385956.32</v>
      </c>
      <c r="D50" s="45">
        <f>9099888972.42</f>
        <v>9099888972.4200001</v>
      </c>
      <c r="E50" s="23" t="s">
        <v>45</v>
      </c>
      <c r="F50" s="23" t="s">
        <v>45</v>
      </c>
      <c r="G50" s="23" t="s">
        <v>45</v>
      </c>
      <c r="H50" s="23" t="s">
        <v>45</v>
      </c>
      <c r="I50" s="23" t="s">
        <v>45</v>
      </c>
      <c r="J50" s="34">
        <f t="shared" si="0"/>
        <v>13.807624425303894</v>
      </c>
      <c r="K50" s="34">
        <f t="shared" si="1"/>
        <v>37.680097489450752</v>
      </c>
      <c r="L50" s="30"/>
    </row>
    <row r="51" spans="1:26" ht="13.5" customHeight="1" outlineLevel="1" x14ac:dyDescent="0.2">
      <c r="B51" s="32" t="s">
        <v>35</v>
      </c>
      <c r="C51" s="22">
        <f>236435</f>
        <v>236435</v>
      </c>
      <c r="D51" s="22">
        <f>0</f>
        <v>0</v>
      </c>
      <c r="E51" s="24" t="s">
        <v>45</v>
      </c>
      <c r="F51" s="24" t="s">
        <v>45</v>
      </c>
      <c r="G51" s="24" t="s">
        <v>45</v>
      </c>
      <c r="H51" s="24" t="s">
        <v>45</v>
      </c>
      <c r="I51" s="24" t="s">
        <v>45</v>
      </c>
      <c r="J51" s="35">
        <f t="shared" si="0"/>
        <v>0</v>
      </c>
      <c r="K51" s="35">
        <f t="shared" si="1"/>
        <v>0</v>
      </c>
      <c r="L51" s="29"/>
    </row>
    <row r="52" spans="1:26" ht="22.5" outlineLevel="1" x14ac:dyDescent="0.2">
      <c r="B52" s="54" t="s">
        <v>104</v>
      </c>
      <c r="C52" s="24">
        <f>1664630890.79</f>
        <v>1664630890.79</v>
      </c>
      <c r="D52" s="24">
        <f>462108817.93</f>
        <v>462108817.93000001</v>
      </c>
      <c r="E52" s="24" t="s">
        <v>45</v>
      </c>
      <c r="F52" s="24" t="s">
        <v>45</v>
      </c>
      <c r="G52" s="24" t="s">
        <v>45</v>
      </c>
      <c r="H52" s="24" t="s">
        <v>45</v>
      </c>
      <c r="I52" s="24" t="s">
        <v>45</v>
      </c>
      <c r="J52" s="35">
        <f t="shared" si="0"/>
        <v>0.7011761375261848</v>
      </c>
      <c r="K52" s="35">
        <f t="shared" si="1"/>
        <v>27.760437493184604</v>
      </c>
      <c r="L52" s="29"/>
    </row>
    <row r="53" spans="1:26" ht="13.5" customHeight="1" outlineLevel="1" x14ac:dyDescent="0.2">
      <c r="B53" s="82" t="s">
        <v>6</v>
      </c>
      <c r="C53" s="24">
        <f>0</f>
        <v>0</v>
      </c>
      <c r="D53" s="24">
        <f>0</f>
        <v>0</v>
      </c>
      <c r="E53" s="24" t="s">
        <v>45</v>
      </c>
      <c r="F53" s="24" t="s">
        <v>45</v>
      </c>
      <c r="G53" s="24" t="s">
        <v>45</v>
      </c>
      <c r="H53" s="24" t="s">
        <v>45</v>
      </c>
      <c r="I53" s="24" t="s">
        <v>45</v>
      </c>
      <c r="J53" s="35">
        <f t="shared" si="0"/>
        <v>0</v>
      </c>
      <c r="K53" s="35" t="str">
        <f t="shared" si="1"/>
        <v/>
      </c>
      <c r="L53" s="29"/>
    </row>
    <row r="54" spans="1:26" s="5" customFormat="1" x14ac:dyDescent="0.2">
      <c r="A54" s="2"/>
      <c r="B54" s="20"/>
      <c r="C54" s="7"/>
      <c r="D54" s="8"/>
      <c r="E54" s="16"/>
      <c r="F54" s="16"/>
      <c r="G54" s="16"/>
      <c r="H54" s="16"/>
      <c r="I54" s="16"/>
      <c r="J54" s="9"/>
      <c r="K54" s="9"/>
      <c r="L54" s="3"/>
    </row>
    <row r="55" spans="1:26" s="5" customFormat="1" ht="13.5" customHeight="1" x14ac:dyDescent="0.2">
      <c r="A55" s="2"/>
      <c r="B55" s="83" t="s">
        <v>5</v>
      </c>
      <c r="C55" s="41">
        <f t="shared" ref="C55:I55" si="5">+C6</f>
        <v>216869210457.06</v>
      </c>
      <c r="D55" s="41">
        <f t="shared" si="5"/>
        <v>65904812385.709999</v>
      </c>
      <c r="E55" s="41">
        <f t="shared" si="5"/>
        <v>1371367692.3399999</v>
      </c>
      <c r="F55" s="41">
        <f t="shared" si="5"/>
        <v>203217200.06999999</v>
      </c>
      <c r="G55" s="41">
        <f t="shared" si="5"/>
        <v>23814198.899999999</v>
      </c>
      <c r="H55" s="41">
        <f t="shared" si="5"/>
        <v>66671566.100000001</v>
      </c>
      <c r="I55" s="41">
        <f t="shared" si="5"/>
        <v>536426.81000000006</v>
      </c>
      <c r="J55" s="56">
        <f t="shared" si="0"/>
        <v>100</v>
      </c>
      <c r="K55" s="77">
        <f>IF(C55=0,"",100*D55/C55)</f>
        <v>30.389197363154103</v>
      </c>
      <c r="L55" s="79"/>
    </row>
    <row r="56" spans="1:26" s="5" customFormat="1" ht="13.5" customHeight="1" x14ac:dyDescent="0.2">
      <c r="A56" s="2"/>
      <c r="B56" s="85" t="s">
        <v>57</v>
      </c>
      <c r="C56" s="24">
        <f>41230054453.9</f>
        <v>41230054453.900002</v>
      </c>
      <c r="D56" s="24">
        <f>4105450272.72</f>
        <v>4105450272.7199998</v>
      </c>
      <c r="E56" s="24">
        <f>0</f>
        <v>0</v>
      </c>
      <c r="F56" s="24">
        <f>0</f>
        <v>0</v>
      </c>
      <c r="G56" s="24">
        <f>0</f>
        <v>0</v>
      </c>
      <c r="H56" s="24">
        <f>0</f>
        <v>0</v>
      </c>
      <c r="I56" s="24">
        <f>0</f>
        <v>0</v>
      </c>
      <c r="J56" s="38">
        <f t="shared" si="0"/>
        <v>6.2293634168817933</v>
      </c>
      <c r="K56" s="78">
        <f>IF(C56=0,"",100*D56/C56)</f>
        <v>9.9574214176951212</v>
      </c>
      <c r="L56" s="79"/>
    </row>
    <row r="57" spans="1:26" s="5" customFormat="1" ht="13.5" customHeight="1" x14ac:dyDescent="0.2">
      <c r="A57" s="2"/>
      <c r="B57" s="85" t="s">
        <v>58</v>
      </c>
      <c r="C57" s="24">
        <f>C55-C56</f>
        <v>175639156003.16</v>
      </c>
      <c r="D57" s="24">
        <f t="shared" ref="D57:I57" si="6">D55-D56</f>
        <v>61799362112.989998</v>
      </c>
      <c r="E57" s="24">
        <f t="shared" si="6"/>
        <v>1371367692.3399999</v>
      </c>
      <c r="F57" s="24">
        <f t="shared" si="6"/>
        <v>203217200.06999999</v>
      </c>
      <c r="G57" s="24">
        <f t="shared" si="6"/>
        <v>23814198.899999999</v>
      </c>
      <c r="H57" s="24">
        <f t="shared" si="6"/>
        <v>66671566.100000001</v>
      </c>
      <c r="I57" s="24">
        <f t="shared" si="6"/>
        <v>536426.81000000006</v>
      </c>
      <c r="J57" s="38">
        <f t="shared" si="0"/>
        <v>93.770636583118204</v>
      </c>
      <c r="K57" s="78">
        <f>IF(C57=0,"",100*D57/C57)</f>
        <v>35.18541281983736</v>
      </c>
      <c r="L57" s="79"/>
    </row>
    <row r="58" spans="1:26" s="5" customFormat="1" ht="13.5" customHeight="1" x14ac:dyDescent="0.2">
      <c r="A58" s="2"/>
      <c r="B58" s="104" t="s">
        <v>91</v>
      </c>
      <c r="C58" s="104"/>
      <c r="D58" s="104"/>
      <c r="E58" s="104"/>
      <c r="F58" s="75"/>
      <c r="G58" s="75"/>
      <c r="H58" s="75"/>
      <c r="I58" s="75"/>
      <c r="J58" s="9"/>
      <c r="K58" s="9"/>
      <c r="L58" s="9"/>
    </row>
    <row r="59" spans="1:26" ht="15" x14ac:dyDescent="0.2">
      <c r="B59" s="90" t="str">
        <f>CONCATENATE("Informacja z wykonania budżetów gmin za ",$D$131," ",$C$132," rok     ",$C$134,"")</f>
        <v xml:space="preserve">Informacja z wykonania budżetów gmin za I Kwartał 2025 rok     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26" s="5" customFormat="1" ht="7.5" customHeight="1" x14ac:dyDescent="0.2">
      <c r="B60" s="6"/>
      <c r="C60" s="7"/>
      <c r="D60" s="8"/>
      <c r="E60" s="8"/>
      <c r="F60" s="4"/>
      <c r="G60" s="4"/>
      <c r="H60" s="4"/>
      <c r="I60" s="4"/>
      <c r="J60" s="4"/>
      <c r="K60" s="9"/>
      <c r="L60" s="9"/>
      <c r="M60" s="3"/>
    </row>
    <row r="61" spans="1:26" ht="29.25" customHeight="1" x14ac:dyDescent="0.2">
      <c r="B61" s="131" t="s">
        <v>0</v>
      </c>
      <c r="C61" s="115" t="s">
        <v>41</v>
      </c>
      <c r="D61" s="115" t="s">
        <v>43</v>
      </c>
      <c r="E61" s="115" t="s">
        <v>42</v>
      </c>
      <c r="F61" s="115" t="s">
        <v>12</v>
      </c>
      <c r="G61" s="115"/>
      <c r="H61" s="115"/>
      <c r="I61" s="134" t="s">
        <v>67</v>
      </c>
      <c r="J61" s="115" t="s">
        <v>2</v>
      </c>
      <c r="K61" s="112" t="s">
        <v>18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 customHeight="1" x14ac:dyDescent="0.2">
      <c r="B62" s="131"/>
      <c r="C62" s="115"/>
      <c r="D62" s="115"/>
      <c r="E62" s="116"/>
      <c r="F62" s="117" t="s">
        <v>44</v>
      </c>
      <c r="G62" s="118" t="s">
        <v>27</v>
      </c>
      <c r="H62" s="116"/>
      <c r="I62" s="135"/>
      <c r="J62" s="115"/>
      <c r="K62" s="112"/>
      <c r="L62" s="11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.75" customHeight="1" x14ac:dyDescent="0.2">
      <c r="B63" s="131"/>
      <c r="C63" s="115"/>
      <c r="D63" s="115"/>
      <c r="E63" s="116"/>
      <c r="F63" s="116"/>
      <c r="G63" s="18" t="s">
        <v>39</v>
      </c>
      <c r="H63" s="18" t="s">
        <v>40</v>
      </c>
      <c r="I63" s="136"/>
      <c r="J63" s="115"/>
      <c r="K63" s="112"/>
      <c r="L63" s="11"/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2">
      <c r="B64" s="131"/>
      <c r="C64" s="128" t="s">
        <v>61</v>
      </c>
      <c r="D64" s="129"/>
      <c r="E64" s="129"/>
      <c r="F64" s="129"/>
      <c r="G64" s="129"/>
      <c r="H64" s="129"/>
      <c r="I64" s="130"/>
      <c r="J64" s="133" t="s">
        <v>4</v>
      </c>
      <c r="K64" s="133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0"/>
      <c r="N65" s="2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25.5" customHeight="1" x14ac:dyDescent="0.2">
      <c r="B66" s="83" t="s">
        <v>48</v>
      </c>
      <c r="C66" s="57">
        <f>231824693692.65</f>
        <v>231824693692.64999</v>
      </c>
      <c r="D66" s="67">
        <f>46037762005</f>
        <v>46037762005</v>
      </c>
      <c r="E66" s="67">
        <f>136716379805.22</f>
        <v>136716379805.22</v>
      </c>
      <c r="F66" s="57">
        <f>4798946935.23</f>
        <v>4798946935.2299995</v>
      </c>
      <c r="G66" s="57">
        <f>13213417.1</f>
        <v>13213417.1</v>
      </c>
      <c r="H66" s="57">
        <f>7233152.16</f>
        <v>7233152.1600000001</v>
      </c>
      <c r="I66" s="68">
        <f>0</f>
        <v>0</v>
      </c>
      <c r="J66" s="52">
        <f>IF($D$66=0,"",100*$D66/$D$66)</f>
        <v>100</v>
      </c>
      <c r="K66" s="52">
        <f>IF(C66=0,"",100*D66/C66)</f>
        <v>19.858868902911713</v>
      </c>
      <c r="N66" s="76"/>
    </row>
    <row r="67" spans="2:26" ht="13.5" customHeight="1" x14ac:dyDescent="0.2">
      <c r="B67" s="84" t="s">
        <v>14</v>
      </c>
      <c r="C67" s="26">
        <f>64448394340.4399</f>
        <v>64448394340.439903</v>
      </c>
      <c r="D67" s="26">
        <f>5590375223.77</f>
        <v>5590375223.7700005</v>
      </c>
      <c r="E67" s="26">
        <f>27231180324.26</f>
        <v>27231180324.259998</v>
      </c>
      <c r="F67" s="26">
        <f>1168568946.26</f>
        <v>1168568946.26</v>
      </c>
      <c r="G67" s="26">
        <f>3610840.43</f>
        <v>3610840.43</v>
      </c>
      <c r="H67" s="26">
        <f>1049538.9</f>
        <v>1049538.8999999999</v>
      </c>
      <c r="I67" s="69">
        <f>0</f>
        <v>0</v>
      </c>
      <c r="J67" s="52">
        <f t="shared" ref="J67:J75" si="7">IF($D$66=0,"",100*$D67/$D$66)</f>
        <v>12.143021251039199</v>
      </c>
      <c r="K67" s="52">
        <f t="shared" ref="K67:K75" si="8">IF(C67=0,"",100*D67/C67)</f>
        <v>8.6741885208801346</v>
      </c>
      <c r="N67" s="60"/>
    </row>
    <row r="68" spans="2:26" ht="13.5" customHeight="1" outlineLevel="1" x14ac:dyDescent="0.2">
      <c r="B68" s="32" t="s">
        <v>13</v>
      </c>
      <c r="C68" s="22">
        <f>63225741859.4099</f>
        <v>63225741859.409897</v>
      </c>
      <c r="D68" s="22">
        <f>5282608792.24</f>
        <v>5282608792.2399998</v>
      </c>
      <c r="E68" s="22">
        <f>26816282388.86</f>
        <v>26816282388.860001</v>
      </c>
      <c r="F68" s="22">
        <f>1162941370.28</f>
        <v>1162941370.28</v>
      </c>
      <c r="G68" s="22">
        <f>660840.43</f>
        <v>660840.43000000005</v>
      </c>
      <c r="H68" s="22">
        <f>1049538.9</f>
        <v>1049538.8999999999</v>
      </c>
      <c r="I68" s="65">
        <f>0</f>
        <v>0</v>
      </c>
      <c r="J68" s="52">
        <f t="shared" si="7"/>
        <v>11.474512578752796</v>
      </c>
      <c r="K68" s="52">
        <f t="shared" si="8"/>
        <v>8.3551550948765794</v>
      </c>
      <c r="N68" s="75"/>
    </row>
    <row r="69" spans="2:26" ht="27" customHeight="1" x14ac:dyDescent="0.2">
      <c r="B69" s="84" t="s">
        <v>49</v>
      </c>
      <c r="C69" s="26">
        <f t="shared" ref="C69:I69" si="9">C66-C67</f>
        <v>167376299352.21008</v>
      </c>
      <c r="D69" s="26">
        <f>D66-D67</f>
        <v>40447386781.229996</v>
      </c>
      <c r="E69" s="26">
        <f>E66-E67</f>
        <v>109485199480.96001</v>
      </c>
      <c r="F69" s="26">
        <f t="shared" si="9"/>
        <v>3630377988.9699993</v>
      </c>
      <c r="G69" s="26">
        <f t="shared" si="9"/>
        <v>9602576.6699999999</v>
      </c>
      <c r="H69" s="26">
        <f t="shared" si="9"/>
        <v>6183613.2599999998</v>
      </c>
      <c r="I69" s="69">
        <f t="shared" si="9"/>
        <v>0</v>
      </c>
      <c r="J69" s="52">
        <f t="shared" si="7"/>
        <v>87.856978748960785</v>
      </c>
      <c r="K69" s="52">
        <f t="shared" si="8"/>
        <v>24.165540125915037</v>
      </c>
      <c r="N69" s="60"/>
    </row>
    <row r="70" spans="2:26" ht="22.5" outlineLevel="1" x14ac:dyDescent="0.2">
      <c r="B70" s="32" t="s">
        <v>83</v>
      </c>
      <c r="C70" s="22">
        <f>82103681360.3401</f>
        <v>82103681360.340103</v>
      </c>
      <c r="D70" s="22">
        <f>21913538739.19</f>
        <v>21913538739.189999</v>
      </c>
      <c r="E70" s="22">
        <f>66462740894</f>
        <v>66462740894</v>
      </c>
      <c r="F70" s="22">
        <f>1808629486.82</f>
        <v>1808629486.8199999</v>
      </c>
      <c r="G70" s="22">
        <f>1481335.04</f>
        <v>1481335.04</v>
      </c>
      <c r="H70" s="22">
        <f>939201.46</f>
        <v>939201.46</v>
      </c>
      <c r="I70" s="65">
        <f>0</f>
        <v>0</v>
      </c>
      <c r="J70" s="52">
        <f t="shared" si="7"/>
        <v>47.599053005248265</v>
      </c>
      <c r="K70" s="52">
        <f t="shared" si="8"/>
        <v>26.690080610411282</v>
      </c>
      <c r="N70" s="75"/>
    </row>
    <row r="71" spans="2:26" ht="13.5" customHeight="1" outlineLevel="1" x14ac:dyDescent="0.2">
      <c r="B71" s="54" t="s">
        <v>38</v>
      </c>
      <c r="C71" s="59">
        <f>16689369613.58</f>
        <v>16689369613.58</v>
      </c>
      <c r="D71" s="59">
        <f>4355117459.78</f>
        <v>4355117459.7799997</v>
      </c>
      <c r="E71" s="59">
        <f>9026738258.43999</f>
        <v>9026738258.4399891</v>
      </c>
      <c r="F71" s="59">
        <f>115310472.32</f>
        <v>115310472.31999999</v>
      </c>
      <c r="G71" s="59">
        <f>0</f>
        <v>0</v>
      </c>
      <c r="H71" s="59">
        <f>89569.92</f>
        <v>89569.919999999998</v>
      </c>
      <c r="I71" s="70">
        <f>0</f>
        <v>0</v>
      </c>
      <c r="J71" s="52">
        <f t="shared" si="7"/>
        <v>9.4598809110377822</v>
      </c>
      <c r="K71" s="52">
        <f t="shared" si="8"/>
        <v>26.095158538739998</v>
      </c>
      <c r="N71" s="74"/>
    </row>
    <row r="72" spans="2:26" ht="13.5" customHeight="1" outlineLevel="1" x14ac:dyDescent="0.2">
      <c r="B72" s="54" t="s">
        <v>37</v>
      </c>
      <c r="C72" s="24">
        <f>2862015272.46</f>
        <v>2862015272.46</v>
      </c>
      <c r="D72" s="24">
        <f>412830272.86</f>
        <v>412830272.86000001</v>
      </c>
      <c r="E72" s="24">
        <f>902256578.41</f>
        <v>902256578.40999997</v>
      </c>
      <c r="F72" s="24">
        <f>99038940.79</f>
        <v>99038940.790000007</v>
      </c>
      <c r="G72" s="24">
        <f>0</f>
        <v>0</v>
      </c>
      <c r="H72" s="24">
        <f>0.45</f>
        <v>0.45</v>
      </c>
      <c r="I72" s="71">
        <f>0</f>
        <v>0</v>
      </c>
      <c r="J72" s="52">
        <f t="shared" si="7"/>
        <v>0.89672098486273932</v>
      </c>
      <c r="K72" s="52">
        <f t="shared" si="8"/>
        <v>14.424460862682897</v>
      </c>
      <c r="N72" s="75"/>
    </row>
    <row r="73" spans="2:26" ht="24" customHeight="1" outlineLevel="1" x14ac:dyDescent="0.2">
      <c r="B73" s="54" t="s">
        <v>55</v>
      </c>
      <c r="C73" s="59">
        <f>157035780.63</f>
        <v>157035780.63</v>
      </c>
      <c r="D73" s="59">
        <f>669020.48</f>
        <v>669020.48</v>
      </c>
      <c r="E73" s="59">
        <f>4892117.92</f>
        <v>4892117.92</v>
      </c>
      <c r="F73" s="59">
        <f>0</f>
        <v>0</v>
      </c>
      <c r="G73" s="59">
        <f>0</f>
        <v>0</v>
      </c>
      <c r="H73" s="59">
        <f>0</f>
        <v>0</v>
      </c>
      <c r="I73" s="70">
        <f>0</f>
        <v>0</v>
      </c>
      <c r="J73" s="52">
        <f t="shared" si="7"/>
        <v>1.4531993973280891E-3</v>
      </c>
      <c r="K73" s="52">
        <f t="shared" si="8"/>
        <v>0.42603060099807016</v>
      </c>
      <c r="N73" s="74"/>
    </row>
    <row r="74" spans="2:26" ht="22.5" outlineLevel="1" x14ac:dyDescent="0.2">
      <c r="B74" s="54" t="s">
        <v>56</v>
      </c>
      <c r="C74" s="59">
        <f>15383153492.48</f>
        <v>15383153492.48</v>
      </c>
      <c r="D74" s="59">
        <f>4515668288.55</f>
        <v>4515668288.5500002</v>
      </c>
      <c r="E74" s="59">
        <f>10155599395.09</f>
        <v>10155599395.09</v>
      </c>
      <c r="F74" s="59">
        <f>232177737.87</f>
        <v>232177737.87</v>
      </c>
      <c r="G74" s="59">
        <f>185180.03</f>
        <v>185180.03</v>
      </c>
      <c r="H74" s="59">
        <f>146656.42</f>
        <v>146656.42000000001</v>
      </c>
      <c r="I74" s="72">
        <f>0</f>
        <v>0</v>
      </c>
      <c r="J74" s="52">
        <f t="shared" si="7"/>
        <v>9.808618168840546</v>
      </c>
      <c r="K74" s="52">
        <f t="shared" si="8"/>
        <v>29.354633240560648</v>
      </c>
      <c r="N74" s="74"/>
    </row>
    <row r="75" spans="2:26" ht="13.5" customHeight="1" outlineLevel="1" x14ac:dyDescent="0.2">
      <c r="B75" s="54" t="s">
        <v>36</v>
      </c>
      <c r="C75" s="24">
        <f t="shared" ref="C75:I75" si="10">C69-C70-C71-C72-C73-C74</f>
        <v>50181043832.719986</v>
      </c>
      <c r="D75" s="24">
        <f>D69-D70-D71-D72-D73-D74</f>
        <v>9249563000.3699989</v>
      </c>
      <c r="E75" s="24">
        <f>E69-E70-E71-E72-E73-E74</f>
        <v>22932972237.100021</v>
      </c>
      <c r="F75" s="24">
        <f t="shared" si="10"/>
        <v>1375221351.1699996</v>
      </c>
      <c r="G75" s="24">
        <f t="shared" si="10"/>
        <v>7936061.5999999996</v>
      </c>
      <c r="H75" s="24">
        <f t="shared" si="10"/>
        <v>5008185.01</v>
      </c>
      <c r="I75" s="70">
        <f t="shared" si="10"/>
        <v>0</v>
      </c>
      <c r="J75" s="52">
        <f t="shared" si="7"/>
        <v>20.091252479574131</v>
      </c>
      <c r="K75" s="52">
        <f t="shared" si="8"/>
        <v>18.432384609622101</v>
      </c>
      <c r="N75" s="75"/>
    </row>
    <row r="76" spans="2:26" ht="18" customHeight="1" x14ac:dyDescent="0.2">
      <c r="B76" s="83" t="s">
        <v>15</v>
      </c>
      <c r="C76" s="26">
        <f>C6-C66</f>
        <v>-14955483235.589996</v>
      </c>
      <c r="D76" s="26">
        <f>D6-D66</f>
        <v>19867050380.709999</v>
      </c>
      <c r="E76" s="80"/>
      <c r="F76" s="60"/>
      <c r="G76" s="60"/>
      <c r="H76" s="60"/>
      <c r="I76" s="81"/>
      <c r="J76" s="28"/>
      <c r="K76" s="28"/>
      <c r="L76" s="13"/>
      <c r="N76" s="60"/>
    </row>
    <row r="77" spans="2:26" ht="25.5" x14ac:dyDescent="0.2">
      <c r="B77" s="86" t="s">
        <v>123</v>
      </c>
      <c r="C77" s="26">
        <f>+C57-C69</f>
        <v>8262856650.9499207</v>
      </c>
      <c r="D77" s="26">
        <f>+D57-D69</f>
        <v>21351975331.760002</v>
      </c>
      <c r="E77" s="80"/>
      <c r="F77" s="60"/>
      <c r="G77" s="60"/>
      <c r="H77" s="60"/>
      <c r="I77" s="60"/>
      <c r="J77" s="28"/>
      <c r="K77" s="28"/>
      <c r="L77" s="13"/>
      <c r="N77" s="60"/>
    </row>
    <row r="78" spans="2:26" outlineLevel="1" x14ac:dyDescent="0.2">
      <c r="B78" s="105"/>
      <c r="C78" s="60"/>
      <c r="D78" s="60"/>
      <c r="E78" s="60"/>
      <c r="F78" s="60"/>
      <c r="G78" s="60"/>
      <c r="H78" s="60"/>
      <c r="I78" s="60"/>
      <c r="J78" s="28"/>
      <c r="K78" s="28"/>
      <c r="L78" s="13"/>
      <c r="N78" s="60"/>
    </row>
    <row r="79" spans="2:26" outlineLevel="1" x14ac:dyDescent="0.2">
      <c r="B79" s="105"/>
      <c r="C79" s="60"/>
      <c r="D79" s="60"/>
      <c r="E79" s="60"/>
      <c r="F79" s="60"/>
      <c r="G79" s="60"/>
      <c r="H79" s="60"/>
      <c r="I79" s="60"/>
      <c r="J79" s="28"/>
      <c r="K79" s="28"/>
      <c r="L79" s="13"/>
      <c r="N79" s="60"/>
    </row>
    <row r="80" spans="2:26" ht="12.75" customHeight="1" outlineLevel="1" x14ac:dyDescent="0.2">
      <c r="B80" s="138" t="s">
        <v>120</v>
      </c>
      <c r="C80" s="139" t="s">
        <v>105</v>
      </c>
      <c r="D80" s="139"/>
      <c r="E80" s="139" t="s">
        <v>106</v>
      </c>
      <c r="F80" s="139"/>
      <c r="G80" s="106" t="s">
        <v>124</v>
      </c>
      <c r="H80" s="60"/>
      <c r="I80" s="28"/>
      <c r="J80" s="28"/>
      <c r="K80" s="13"/>
      <c r="M80" s="60"/>
    </row>
    <row r="81" spans="1:14" outlineLevel="1" x14ac:dyDescent="0.2">
      <c r="B81" s="138"/>
      <c r="C81" s="107" t="s">
        <v>107</v>
      </c>
      <c r="D81" s="107" t="s">
        <v>108</v>
      </c>
      <c r="E81" s="107" t="s">
        <v>107</v>
      </c>
      <c r="F81" s="107" t="s">
        <v>108</v>
      </c>
      <c r="G81" s="107" t="s">
        <v>107</v>
      </c>
      <c r="H81" s="60"/>
      <c r="I81" s="28"/>
      <c r="J81" s="28"/>
      <c r="K81" s="13"/>
      <c r="M81" s="60"/>
    </row>
    <row r="82" spans="1:14" outlineLevel="1" x14ac:dyDescent="0.2">
      <c r="B82" s="110" t="s">
        <v>119</v>
      </c>
      <c r="C82" s="108">
        <f>264</f>
        <v>264</v>
      </c>
      <c r="D82" s="111">
        <f>359802782.55</f>
        <v>359802782.55000001</v>
      </c>
      <c r="E82" s="108">
        <f>2138</f>
        <v>2138</v>
      </c>
      <c r="F82" s="111">
        <f>+-15315286018.14</f>
        <v>-15315286018.139999</v>
      </c>
      <c r="G82" s="108">
        <f>11</f>
        <v>11</v>
      </c>
      <c r="H82" s="60"/>
      <c r="I82" s="28"/>
      <c r="J82" s="28"/>
      <c r="K82" s="13"/>
      <c r="M82" s="60"/>
    </row>
    <row r="83" spans="1:14" outlineLevel="1" x14ac:dyDescent="0.2">
      <c r="B83" s="110" t="s">
        <v>121</v>
      </c>
      <c r="C83" s="108">
        <f>2377</f>
        <v>2377</v>
      </c>
      <c r="D83" s="111">
        <f>19995439568.61</f>
        <v>19995439568.610001</v>
      </c>
      <c r="E83" s="108">
        <f>36</f>
        <v>36</v>
      </c>
      <c r="F83" s="111">
        <f>+-128389187.9</f>
        <v>-128389187.90000001</v>
      </c>
      <c r="G83" s="108">
        <f>0</f>
        <v>0</v>
      </c>
      <c r="H83" s="60"/>
      <c r="I83" s="28"/>
      <c r="J83" s="28"/>
      <c r="K83" s="13"/>
      <c r="M83" s="60"/>
    </row>
    <row r="84" spans="1:14" outlineLevel="1" x14ac:dyDescent="0.2">
      <c r="A84" s="33"/>
      <c r="B84" s="109"/>
      <c r="C84" s="109"/>
      <c r="D84" s="109"/>
      <c r="E84" s="109"/>
      <c r="F84" s="109"/>
      <c r="G84" s="109"/>
      <c r="H84" s="60"/>
      <c r="I84" s="28"/>
      <c r="J84" s="28"/>
      <c r="K84" s="13"/>
      <c r="M84" s="60"/>
    </row>
    <row r="85" spans="1:14" ht="12.75" customHeight="1" outlineLevel="1" x14ac:dyDescent="0.2">
      <c r="A85" s="33"/>
      <c r="B85" s="138" t="s">
        <v>122</v>
      </c>
      <c r="C85" s="139" t="s">
        <v>105</v>
      </c>
      <c r="D85" s="139"/>
      <c r="E85" s="139" t="s">
        <v>106</v>
      </c>
      <c r="F85" s="139"/>
      <c r="G85" s="106" t="s">
        <v>124</v>
      </c>
      <c r="H85" s="60"/>
      <c r="I85" s="28"/>
      <c r="J85" s="28"/>
      <c r="K85" s="13"/>
      <c r="M85" s="60"/>
    </row>
    <row r="86" spans="1:14" outlineLevel="1" x14ac:dyDescent="0.2">
      <c r="A86" s="33"/>
      <c r="B86" s="138"/>
      <c r="C86" s="107" t="s">
        <v>107</v>
      </c>
      <c r="D86" s="107" t="s">
        <v>108</v>
      </c>
      <c r="E86" s="107" t="s">
        <v>107</v>
      </c>
      <c r="F86" s="107" t="s">
        <v>108</v>
      </c>
      <c r="G86" s="107" t="s">
        <v>107</v>
      </c>
      <c r="H86" s="60"/>
      <c r="I86" s="28"/>
      <c r="J86" s="28"/>
      <c r="K86" s="13"/>
      <c r="M86" s="60"/>
    </row>
    <row r="87" spans="1:14" outlineLevel="1" x14ac:dyDescent="0.2">
      <c r="A87" s="33"/>
      <c r="B87" s="110" t="s">
        <v>119</v>
      </c>
      <c r="C87" s="108">
        <f>2086</f>
        <v>2086</v>
      </c>
      <c r="D87" s="111">
        <f>8784206011.45999</f>
        <v>8784206011.4599895</v>
      </c>
      <c r="E87" s="108">
        <f>325</f>
        <v>325</v>
      </c>
      <c r="F87" s="111">
        <f>+-521349360.51</f>
        <v>-521349360.50999999</v>
      </c>
      <c r="G87" s="108">
        <f>2</f>
        <v>2</v>
      </c>
      <c r="H87" s="60"/>
      <c r="I87" s="28"/>
      <c r="J87" s="28"/>
      <c r="K87" s="13"/>
      <c r="M87" s="60"/>
    </row>
    <row r="88" spans="1:14" outlineLevel="1" x14ac:dyDescent="0.2">
      <c r="A88" s="33"/>
      <c r="B88" s="110" t="s">
        <v>121</v>
      </c>
      <c r="C88" s="108">
        <f>2413</f>
        <v>2413</v>
      </c>
      <c r="D88" s="111">
        <f>21351975331.76</f>
        <v>21351975331.759998</v>
      </c>
      <c r="E88" s="108">
        <f>0</f>
        <v>0</v>
      </c>
      <c r="F88" s="111">
        <f>0</f>
        <v>0</v>
      </c>
      <c r="G88" s="108">
        <f>0</f>
        <v>0</v>
      </c>
      <c r="H88" s="60"/>
      <c r="I88" s="28"/>
      <c r="J88" s="28"/>
      <c r="K88" s="13"/>
      <c r="M88" s="60"/>
    </row>
    <row r="89" spans="1:14" outlineLevel="1" x14ac:dyDescent="0.2">
      <c r="B89" s="105"/>
      <c r="C89" s="60"/>
      <c r="D89" s="60"/>
      <c r="E89" s="60"/>
      <c r="F89" s="60"/>
      <c r="G89" s="60"/>
      <c r="H89" s="60"/>
      <c r="I89" s="60"/>
      <c r="J89" s="28"/>
      <c r="K89" s="28"/>
      <c r="L89" s="13"/>
      <c r="N89" s="60"/>
    </row>
    <row r="90" spans="1:14" x14ac:dyDescent="0.2">
      <c r="B90" s="105"/>
      <c r="C90" s="60"/>
      <c r="D90" s="60"/>
      <c r="E90" s="60"/>
      <c r="F90" s="60"/>
      <c r="G90" s="60"/>
      <c r="H90" s="60"/>
      <c r="I90" s="60"/>
      <c r="J90" s="28"/>
      <c r="K90" s="28"/>
      <c r="L90" s="13"/>
      <c r="N90" s="60"/>
    </row>
    <row r="91" spans="1:14" ht="14.25" customHeight="1" x14ac:dyDescent="0.2">
      <c r="B91" s="102" t="s">
        <v>92</v>
      </c>
      <c r="C91" s="103"/>
      <c r="D91" s="103"/>
      <c r="E91" s="103"/>
      <c r="F91" s="103"/>
      <c r="G91" s="60"/>
      <c r="H91" s="60"/>
      <c r="I91" s="60"/>
      <c r="J91" s="60"/>
      <c r="K91" s="28"/>
      <c r="L91" s="28"/>
      <c r="M91" s="13"/>
    </row>
    <row r="92" spans="1:14" ht="27" customHeight="1" x14ac:dyDescent="0.2">
      <c r="B92" s="83" t="s">
        <v>88</v>
      </c>
      <c r="C92" s="41">
        <f>14073830197.65</f>
        <v>14073830197.65</v>
      </c>
      <c r="D92" s="41">
        <f>902692585.870001</f>
        <v>902692585.87000096</v>
      </c>
      <c r="E92" s="41">
        <f>3793584568.58</f>
        <v>3793584568.5799999</v>
      </c>
      <c r="F92" s="41">
        <f>199869043.04</f>
        <v>199869043.03999999</v>
      </c>
      <c r="G92" s="41">
        <f>205442.95</f>
        <v>205442.95</v>
      </c>
      <c r="H92" s="41">
        <f>530119.03</f>
        <v>530119.03</v>
      </c>
      <c r="I92" s="41">
        <f>0</f>
        <v>0</v>
      </c>
      <c r="J92" s="61">
        <f>IF($D$92=0,"",100*$D92/$D$92)</f>
        <v>100</v>
      </c>
      <c r="K92" s="61">
        <f>IF(C92=0,"",100*D92/C92)</f>
        <v>6.4139795151196966</v>
      </c>
      <c r="L92" s="13"/>
    </row>
    <row r="93" spans="1:14" ht="15" customHeight="1" x14ac:dyDescent="0.2">
      <c r="B93" s="87" t="s">
        <v>59</v>
      </c>
      <c r="C93" s="22">
        <f>12007639344.79</f>
        <v>12007639344.790001</v>
      </c>
      <c r="D93" s="22">
        <f>673275246.77</f>
        <v>673275246.76999998</v>
      </c>
      <c r="E93" s="22">
        <f>3186006530.42</f>
        <v>3186006530.4200001</v>
      </c>
      <c r="F93" s="22">
        <f>185314578.71</f>
        <v>185314578.71000001</v>
      </c>
      <c r="G93" s="22">
        <f>205442.95</f>
        <v>205442.95</v>
      </c>
      <c r="H93" s="22">
        <f>530059.03</f>
        <v>530059.03</v>
      </c>
      <c r="I93" s="22">
        <f>0</f>
        <v>0</v>
      </c>
      <c r="J93" s="61">
        <f>IF($D$92=0,"",100*$D93/$D$92)</f>
        <v>74.5852195208968</v>
      </c>
      <c r="K93" s="61">
        <f>IF(C93=0,"",100*D93/C93)</f>
        <v>5.6070575359354677</v>
      </c>
      <c r="L93" s="13"/>
    </row>
    <row r="94" spans="1:14" ht="14.25" customHeight="1" x14ac:dyDescent="0.2">
      <c r="B94" s="88" t="s">
        <v>60</v>
      </c>
      <c r="C94" s="22">
        <f>+C92-C93</f>
        <v>2066190852.8599987</v>
      </c>
      <c r="D94" s="22">
        <f t="shared" ref="D94:I94" si="11">+D92-D93</f>
        <v>229417339.10000098</v>
      </c>
      <c r="E94" s="22">
        <f t="shared" si="11"/>
        <v>607578038.15999985</v>
      </c>
      <c r="F94" s="22">
        <f t="shared" si="11"/>
        <v>14554464.329999983</v>
      </c>
      <c r="G94" s="22">
        <f t="shared" si="11"/>
        <v>0</v>
      </c>
      <c r="H94" s="22">
        <f t="shared" si="11"/>
        <v>60</v>
      </c>
      <c r="I94" s="22">
        <f t="shared" si="11"/>
        <v>0</v>
      </c>
      <c r="J94" s="61">
        <f>IF($D$92=0,"",100*$D94/$D$92)</f>
        <v>25.414780479103211</v>
      </c>
      <c r="K94" s="61">
        <f>IF(C94=0,"",100*D94/C94)</f>
        <v>11.103395351036621</v>
      </c>
      <c r="L94" s="10"/>
    </row>
    <row r="95" spans="1:14" ht="15" x14ac:dyDescent="0.2">
      <c r="B95" s="90" t="str">
        <f>CONCATENATE("Informacja z wykonania budżetów gmin za ",$D$131," ",$C$132," rok     ",$C$134,"")</f>
        <v xml:space="preserve">Informacja z wykonania budżetów gmin za I Kwartał 2025 rok     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7" spans="2:13" ht="18" customHeight="1" x14ac:dyDescent="0.2">
      <c r="B97" s="40" t="s">
        <v>16</v>
      </c>
      <c r="C97" s="66" t="s">
        <v>17</v>
      </c>
      <c r="D97" s="66" t="s">
        <v>1</v>
      </c>
      <c r="E97" s="119" t="s">
        <v>45</v>
      </c>
      <c r="F97" s="120"/>
      <c r="G97" s="120"/>
      <c r="H97" s="120"/>
      <c r="I97" s="121"/>
      <c r="J97" s="19" t="s">
        <v>22</v>
      </c>
      <c r="K97" s="19" t="s">
        <v>23</v>
      </c>
    </row>
    <row r="98" spans="2:13" ht="13.5" customHeight="1" x14ac:dyDescent="0.2">
      <c r="B98" s="40"/>
      <c r="C98" s="117" t="s">
        <v>61</v>
      </c>
      <c r="D98" s="132"/>
      <c r="E98" s="122"/>
      <c r="F98" s="123"/>
      <c r="G98" s="123"/>
      <c r="H98" s="123"/>
      <c r="I98" s="124"/>
      <c r="J98" s="117" t="s">
        <v>4</v>
      </c>
      <c r="K98" s="137"/>
      <c r="M98" s="14"/>
    </row>
    <row r="99" spans="2:13" ht="11.25" customHeight="1" x14ac:dyDescent="0.2">
      <c r="B99" s="39">
        <v>1</v>
      </c>
      <c r="C99" s="42">
        <v>2</v>
      </c>
      <c r="D99" s="42">
        <v>3</v>
      </c>
      <c r="E99" s="125"/>
      <c r="F99" s="126"/>
      <c r="G99" s="126"/>
      <c r="H99" s="126"/>
      <c r="I99" s="127"/>
      <c r="J99" s="31">
        <v>4</v>
      </c>
      <c r="K99" s="31">
        <v>5</v>
      </c>
      <c r="M99" s="10"/>
    </row>
    <row r="100" spans="2:13" ht="27" customHeight="1" x14ac:dyDescent="0.2">
      <c r="B100" s="89" t="s">
        <v>50</v>
      </c>
      <c r="C100" s="43">
        <f>20184866133.73</f>
        <v>20184866133.73</v>
      </c>
      <c r="D100" s="43">
        <f>19870612513.75</f>
        <v>19870612513.75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37">
        <f t="shared" ref="J100:J110" si="12">IF($D$100=0,"",100*$D100/$D$100)</f>
        <v>100</v>
      </c>
      <c r="K100" s="36">
        <f t="shared" ref="K100:K115" si="13">IF(C100=0,"",100*D100/C100)</f>
        <v>98.443122595423787</v>
      </c>
    </row>
    <row r="101" spans="2:13" ht="36" customHeight="1" x14ac:dyDescent="0.2">
      <c r="B101" s="97" t="s">
        <v>89</v>
      </c>
      <c r="C101" s="44">
        <f>10318532212.51</f>
        <v>10318532212.51</v>
      </c>
      <c r="D101" s="44">
        <f>213651381.57</f>
        <v>213651381.56999999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50">
        <f t="shared" si="12"/>
        <v>1.0752128623219754</v>
      </c>
      <c r="K101" s="51">
        <f t="shared" si="13"/>
        <v>2.0705598157746987</v>
      </c>
    </row>
    <row r="102" spans="2:13" ht="22.5" x14ac:dyDescent="0.2">
      <c r="B102" s="98" t="s">
        <v>68</v>
      </c>
      <c r="C102" s="62">
        <f>385726725.61</f>
        <v>385726725.61000001</v>
      </c>
      <c r="D102" s="62">
        <f>33496800</f>
        <v>33496800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3">
        <f t="shared" si="12"/>
        <v>0.1685745720058755</v>
      </c>
      <c r="K102" s="58">
        <f t="shared" si="13"/>
        <v>8.6840754803876088</v>
      </c>
    </row>
    <row r="103" spans="2:13" ht="13.5" customHeight="1" x14ac:dyDescent="0.2">
      <c r="B103" s="99" t="s">
        <v>69</v>
      </c>
      <c r="C103" s="62">
        <f>177547983.96</f>
        <v>177547983.96000001</v>
      </c>
      <c r="D103" s="62">
        <f>14447606.35</f>
        <v>14447606.35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3">
        <f t="shared" si="12"/>
        <v>7.2708409667807644E-2</v>
      </c>
      <c r="K103" s="58">
        <f t="shared" si="13"/>
        <v>8.1372967621276509</v>
      </c>
    </row>
    <row r="104" spans="2:13" ht="50.1" customHeight="1" x14ac:dyDescent="0.2">
      <c r="B104" s="99" t="s">
        <v>84</v>
      </c>
      <c r="C104" s="62">
        <f>2212440681.12</f>
        <v>2212440681.1199999</v>
      </c>
      <c r="D104" s="62">
        <f>6400276551.85</f>
        <v>6400276551.8500004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3">
        <f t="shared" si="12"/>
        <v>32.209759751598789</v>
      </c>
      <c r="K104" s="58">
        <f t="shared" si="13"/>
        <v>289.28579222336481</v>
      </c>
    </row>
    <row r="105" spans="2:13" ht="35.1" customHeight="1" x14ac:dyDescent="0.2">
      <c r="B105" s="99" t="s">
        <v>99</v>
      </c>
      <c r="C105" s="62">
        <f>1949423153.3</f>
        <v>1949423153.3</v>
      </c>
      <c r="D105" s="62">
        <f>2612849581.67</f>
        <v>2612849581.6700001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3">
        <f t="shared" si="12"/>
        <v>13.149315753915332</v>
      </c>
      <c r="K105" s="58">
        <f t="shared" si="13"/>
        <v>134.03193540853079</v>
      </c>
    </row>
    <row r="106" spans="2:13" ht="13.5" customHeight="1" x14ac:dyDescent="0.2">
      <c r="B106" s="99" t="s">
        <v>70</v>
      </c>
      <c r="C106" s="62">
        <f>0</f>
        <v>0</v>
      </c>
      <c r="D106" s="62">
        <f>0</f>
        <v>0</v>
      </c>
      <c r="E106" s="43" t="s">
        <v>45</v>
      </c>
      <c r="F106" s="43" t="s">
        <v>45</v>
      </c>
      <c r="G106" s="43" t="s">
        <v>45</v>
      </c>
      <c r="H106" s="43" t="s">
        <v>45</v>
      </c>
      <c r="I106" s="43" t="s">
        <v>45</v>
      </c>
      <c r="J106" s="63">
        <f t="shared" si="12"/>
        <v>0</v>
      </c>
      <c r="K106" s="58" t="str">
        <f t="shared" si="13"/>
        <v/>
      </c>
    </row>
    <row r="107" spans="2:13" ht="35.1" customHeight="1" x14ac:dyDescent="0.2">
      <c r="B107" s="99" t="s">
        <v>78</v>
      </c>
      <c r="C107" s="62">
        <f>5015716026.56</f>
        <v>5015716026.5600004</v>
      </c>
      <c r="D107" s="62">
        <f>10018006504.86</f>
        <v>10018006504.860001</v>
      </c>
      <c r="E107" s="43" t="s">
        <v>45</v>
      </c>
      <c r="F107" s="43" t="s">
        <v>45</v>
      </c>
      <c r="G107" s="43" t="s">
        <v>45</v>
      </c>
      <c r="H107" s="43" t="s">
        <v>45</v>
      </c>
      <c r="I107" s="43" t="s">
        <v>45</v>
      </c>
      <c r="J107" s="63">
        <f t="shared" si="12"/>
        <v>50.41619375310033</v>
      </c>
      <c r="K107" s="58">
        <f t="shared" si="13"/>
        <v>199.73233037538594</v>
      </c>
    </row>
    <row r="108" spans="2:13" ht="56.25" x14ac:dyDescent="0.2">
      <c r="B108" s="99" t="s">
        <v>100</v>
      </c>
      <c r="C108" s="62">
        <f>0</f>
        <v>0</v>
      </c>
      <c r="D108" s="62">
        <f>159400286.37</f>
        <v>159400286.37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3"/>
      <c r="K108" s="58"/>
    </row>
    <row r="109" spans="2:13" x14ac:dyDescent="0.2">
      <c r="B109" s="99" t="s">
        <v>94</v>
      </c>
      <c r="C109" s="62">
        <f>511206076.28</f>
        <v>511206076.27999997</v>
      </c>
      <c r="D109" s="62">
        <f>451699784.17</f>
        <v>451699784.17000002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63"/>
      <c r="K109" s="58"/>
    </row>
    <row r="110" spans="2:13" ht="22.5" x14ac:dyDescent="0.2">
      <c r="B110" s="98" t="s">
        <v>95</v>
      </c>
      <c r="C110" s="62">
        <f>508771907.03</f>
        <v>508771907.02999997</v>
      </c>
      <c r="D110" s="62">
        <f>450827381.56</f>
        <v>450827381.56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63">
        <f t="shared" si="12"/>
        <v>2.2688147194659347</v>
      </c>
      <c r="K110" s="58">
        <f t="shared" si="13"/>
        <v>88.610903104250355</v>
      </c>
    </row>
    <row r="111" spans="2:13" ht="27" customHeight="1" x14ac:dyDescent="0.2">
      <c r="B111" s="89" t="s">
        <v>51</v>
      </c>
      <c r="C111" s="49">
        <f>5229048374.14</f>
        <v>5229048374.1400003</v>
      </c>
      <c r="D111" s="49">
        <f>1897907777.16</f>
        <v>1897907777.1600001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37">
        <f t="shared" ref="J111:J116" si="14">IF($D$111=0,"",100*$D111/$D$111)</f>
        <v>100</v>
      </c>
      <c r="K111" s="36">
        <f t="shared" si="13"/>
        <v>36.295471783087891</v>
      </c>
    </row>
    <row r="112" spans="2:13" ht="36" customHeight="1" x14ac:dyDescent="0.2">
      <c r="B112" s="97" t="s">
        <v>86</v>
      </c>
      <c r="C112" s="44">
        <f>5084241915.65</f>
        <v>5084241915.6499996</v>
      </c>
      <c r="D112" s="48">
        <f>1194375175.96</f>
        <v>1194375175.96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50">
        <f t="shared" si="14"/>
        <v>62.931149254641056</v>
      </c>
      <c r="K112" s="51">
        <f t="shared" si="13"/>
        <v>23.491706251890729</v>
      </c>
    </row>
    <row r="113" spans="2:11" ht="13.5" customHeight="1" x14ac:dyDescent="0.2">
      <c r="B113" s="98" t="s">
        <v>71</v>
      </c>
      <c r="C113" s="62">
        <f>188934230.43</f>
        <v>188934230.43000001</v>
      </c>
      <c r="D113" s="62">
        <f>9413398</f>
        <v>9413398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63">
        <f t="shared" si="14"/>
        <v>0.49598816724836142</v>
      </c>
      <c r="K113" s="58">
        <f t="shared" si="13"/>
        <v>4.9823676623213373</v>
      </c>
    </row>
    <row r="114" spans="2:11" ht="13.5" customHeight="1" x14ac:dyDescent="0.2">
      <c r="B114" s="99" t="s">
        <v>72</v>
      </c>
      <c r="C114" s="62">
        <f>86619020.06</f>
        <v>86619020.060000002</v>
      </c>
      <c r="D114" s="62">
        <f>49495474.21</f>
        <v>49495474.210000001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63">
        <f t="shared" si="14"/>
        <v>2.6078966958059606</v>
      </c>
      <c r="K114" s="58">
        <f t="shared" si="13"/>
        <v>57.141577191377891</v>
      </c>
    </row>
    <row r="115" spans="2:11" ht="13.5" customHeight="1" x14ac:dyDescent="0.2">
      <c r="B115" s="99" t="s">
        <v>98</v>
      </c>
      <c r="C115" s="62">
        <f>58187438.43</f>
        <v>58187438.43</v>
      </c>
      <c r="D115" s="62">
        <f>654037126.99</f>
        <v>654037126.99000001</v>
      </c>
      <c r="E115" s="43" t="s">
        <v>45</v>
      </c>
      <c r="F115" s="43" t="s">
        <v>45</v>
      </c>
      <c r="G115" s="43" t="s">
        <v>45</v>
      </c>
      <c r="H115" s="43" t="s">
        <v>45</v>
      </c>
      <c r="I115" s="43" t="s">
        <v>45</v>
      </c>
      <c r="J115" s="63">
        <f t="shared" si="14"/>
        <v>34.460954049552981</v>
      </c>
      <c r="K115" s="58">
        <f t="shared" si="13"/>
        <v>1124.0177341314181</v>
      </c>
    </row>
    <row r="116" spans="2:11" ht="22.5" x14ac:dyDescent="0.2">
      <c r="B116" s="98" t="s">
        <v>96</v>
      </c>
      <c r="C116" s="62">
        <f>36569461.78</f>
        <v>36569461.780000001</v>
      </c>
      <c r="D116" s="62">
        <f>63175733.29</f>
        <v>63175733.289999999</v>
      </c>
      <c r="E116" s="43" t="s">
        <v>45</v>
      </c>
      <c r="F116" s="43" t="s">
        <v>45</v>
      </c>
      <c r="G116" s="43" t="s">
        <v>45</v>
      </c>
      <c r="H116" s="43" t="s">
        <v>45</v>
      </c>
      <c r="I116" s="43" t="s">
        <v>45</v>
      </c>
      <c r="J116" s="63">
        <f t="shared" si="14"/>
        <v>3.3287040629832494</v>
      </c>
      <c r="K116" s="58">
        <f>IF(C116=0,"",100*D116/C116)</f>
        <v>172.75543640773813</v>
      </c>
    </row>
    <row r="117" spans="2:11" ht="7.5" customHeight="1" x14ac:dyDescent="0.2"/>
    <row r="118" spans="2:11" x14ac:dyDescent="0.2">
      <c r="B118" s="40" t="s">
        <v>16</v>
      </c>
      <c r="C118" s="66" t="s">
        <v>17</v>
      </c>
      <c r="D118" s="19" t="s">
        <v>1</v>
      </c>
    </row>
    <row r="119" spans="2:11" x14ac:dyDescent="0.2">
      <c r="B119" s="40"/>
      <c r="C119" s="117" t="s">
        <v>61</v>
      </c>
      <c r="D119" s="132"/>
    </row>
    <row r="120" spans="2:11" x14ac:dyDescent="0.2">
      <c r="B120" s="39">
        <v>1</v>
      </c>
      <c r="C120" s="42">
        <v>2</v>
      </c>
      <c r="D120" s="31">
        <v>3</v>
      </c>
    </row>
    <row r="121" spans="2:11" ht="37.5" customHeight="1" x14ac:dyDescent="0.2">
      <c r="B121" s="100" t="s">
        <v>97</v>
      </c>
      <c r="C121" s="47">
        <f>15317248066.14</f>
        <v>15317248066.139999</v>
      </c>
      <c r="D121" s="27">
        <f>0</f>
        <v>0</v>
      </c>
    </row>
    <row r="122" spans="2:11" ht="36" customHeight="1" x14ac:dyDescent="0.2">
      <c r="B122" s="101" t="s">
        <v>63</v>
      </c>
      <c r="C122" s="48">
        <f>312503268.82</f>
        <v>312503268.81999999</v>
      </c>
      <c r="D122" s="73">
        <f>0</f>
        <v>0</v>
      </c>
    </row>
    <row r="123" spans="2:11" ht="13.5" customHeight="1" x14ac:dyDescent="0.2">
      <c r="B123" s="101" t="s">
        <v>64</v>
      </c>
      <c r="C123" s="48">
        <f>6970659184.82</f>
        <v>6970659184.8199997</v>
      </c>
      <c r="D123" s="73">
        <f>0</f>
        <v>0</v>
      </c>
    </row>
    <row r="124" spans="2:11" ht="25.5" customHeight="1" x14ac:dyDescent="0.2">
      <c r="B124" s="101" t="s">
        <v>65</v>
      </c>
      <c r="C124" s="48">
        <f>0</f>
        <v>0</v>
      </c>
      <c r="D124" s="73">
        <f>0</f>
        <v>0</v>
      </c>
    </row>
    <row r="125" spans="2:11" ht="57.95" customHeight="1" x14ac:dyDescent="0.2">
      <c r="B125" s="101" t="s">
        <v>82</v>
      </c>
      <c r="C125" s="48">
        <f>2038332810.22</f>
        <v>2038332810.22</v>
      </c>
      <c r="D125" s="73">
        <f>0</f>
        <v>0</v>
      </c>
    </row>
    <row r="126" spans="2:11" ht="81.95" customHeight="1" x14ac:dyDescent="0.2">
      <c r="B126" s="101" t="s">
        <v>66</v>
      </c>
      <c r="C126" s="48">
        <f>3790354831</f>
        <v>3790354831</v>
      </c>
      <c r="D126" s="73">
        <f>0</f>
        <v>0</v>
      </c>
    </row>
    <row r="127" spans="2:11" ht="150.94999999999999" customHeight="1" x14ac:dyDescent="0.2">
      <c r="B127" s="96" t="s">
        <v>87</v>
      </c>
      <c r="C127" s="48">
        <f>1742510797.51</f>
        <v>1742510797.51</v>
      </c>
      <c r="D127" s="73">
        <f>0</f>
        <v>0</v>
      </c>
    </row>
    <row r="128" spans="2:11" ht="22.5" x14ac:dyDescent="0.2">
      <c r="B128" s="96" t="s">
        <v>81</v>
      </c>
      <c r="C128" s="48">
        <f>77338530.89</f>
        <v>77338530.890000001</v>
      </c>
      <c r="D128" s="73">
        <f>0</f>
        <v>0</v>
      </c>
    </row>
    <row r="129" spans="2:4" ht="22.5" x14ac:dyDescent="0.2">
      <c r="B129" s="96" t="s">
        <v>95</v>
      </c>
      <c r="C129" s="48">
        <f>385548642.88</f>
        <v>385548642.88</v>
      </c>
      <c r="D129" s="73">
        <f>0</f>
        <v>0</v>
      </c>
    </row>
    <row r="130" spans="2:4" ht="28.5" customHeight="1" x14ac:dyDescent="0.2"/>
    <row r="131" spans="2:4" x14ac:dyDescent="0.2">
      <c r="B131" s="64" t="s">
        <v>52</v>
      </c>
      <c r="C131" s="33">
        <f>1</f>
        <v>1</v>
      </c>
      <c r="D131" s="33" t="str">
        <f>IF(C131=1,"I Kwartał",IF(C131=2,"II Kwartały",IF(C131=3,"III Kwartały",IF(C131=4,"IV Kwartały",IF(C131="M1","Styczeń",IF(C131="M11","Listopad",IF(C131="M12","Grudzień","-")))))))</f>
        <v>I Kwartał</v>
      </c>
    </row>
    <row r="132" spans="2:4" x14ac:dyDescent="0.2">
      <c r="B132" s="64" t="s">
        <v>53</v>
      </c>
      <c r="C132" s="91">
        <f>2025</f>
        <v>2025</v>
      </c>
    </row>
    <row r="133" spans="2:4" x14ac:dyDescent="0.2">
      <c r="B133" s="64" t="s">
        <v>54</v>
      </c>
      <c r="C133" s="113" t="str">
        <f>"May 17 2025 12:00AM"</f>
        <v>May 17 2025 12:00AM</v>
      </c>
      <c r="D133" s="114"/>
    </row>
    <row r="134" spans="2:4" hidden="1" x14ac:dyDescent="0.2">
      <c r="B134" s="1" t="s">
        <v>93</v>
      </c>
      <c r="C134" s="1" t="str">
        <f>""</f>
        <v/>
      </c>
    </row>
  </sheetData>
  <mergeCells count="26">
    <mergeCell ref="B3:B4"/>
    <mergeCell ref="C119:D119"/>
    <mergeCell ref="B61:B64"/>
    <mergeCell ref="C98:D98"/>
    <mergeCell ref="J4:L4"/>
    <mergeCell ref="I61:I63"/>
    <mergeCell ref="J64:K64"/>
    <mergeCell ref="C4:I4"/>
    <mergeCell ref="J98:K98"/>
    <mergeCell ref="J61:J63"/>
    <mergeCell ref="B80:B81"/>
    <mergeCell ref="C80:D80"/>
    <mergeCell ref="E80:F80"/>
    <mergeCell ref="B85:B86"/>
    <mergeCell ref="C85:D85"/>
    <mergeCell ref="E85:F85"/>
    <mergeCell ref="K61:K63"/>
    <mergeCell ref="C133:D133"/>
    <mergeCell ref="D61:D63"/>
    <mergeCell ref="E61:E63"/>
    <mergeCell ref="F62:F63"/>
    <mergeCell ref="F61:H61"/>
    <mergeCell ref="G62:H62"/>
    <mergeCell ref="E97:I99"/>
    <mergeCell ref="C61:C63"/>
    <mergeCell ref="C64:I64"/>
  </mergeCells>
  <phoneticPr fontId="0" type="noConversion"/>
  <printOptions horizontalCentered="1"/>
  <pageMargins left="0" right="0" top="0" bottom="0" header="0" footer="0"/>
  <pageSetup paperSize="9" scale="95" orientation="landscape" useFirstPageNumber="1" r:id="rId1"/>
  <headerFooter alignWithMargins="0">
    <oddFooter>&amp;RStrona &amp;P z &amp;N</oddFooter>
  </headerFooter>
  <rowBreaks count="5" manualBreakCount="5">
    <brk id="25" max="16383" man="1"/>
    <brk id="53" min="1" max="11" man="1"/>
    <brk id="58" max="16383" man="1"/>
    <brk id="9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2025-02-07T08:52:30Z</cp:lastPrinted>
  <dcterms:created xsi:type="dcterms:W3CDTF">2001-05-17T08:58:03Z</dcterms:created>
  <dcterms:modified xsi:type="dcterms:W3CDTF">2025-05-21T12:06:46Z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