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<sst xmlns="http://schemas.openxmlformats.org/spreadsheetml/2006/main" count="261" uniqueCount="114">
  <si>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</si>
  <si>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</si>
  <si>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</si>
  <si>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</si>
  <si>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</si>
  <si>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</si>
  <si>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</si>
  <si>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</si>
  <si>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</si>
  <si>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</si>
  <si>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</si>
  <si>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</si>
  <si>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</si>
  <si>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</si>
  <si>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</si>
  <si>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</si>
  <si>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</si>
  <si>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</si>
  <si>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</si>
  <si>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</si>
  <si>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</si>
  <si>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</si>
  <si>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</si>
  <si>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</si>
  <si>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</si>
  <si>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</si>
  <si>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</si>
  <si>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</si>
  <si>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</si>
  <si>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</si>
  <si>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</si>
  <si>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</si>
  <si>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</si>
  <si>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</si>
  <si>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</si>
  <si>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</si>
  <si>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</si>
  <si>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</si>
  <si>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</si>
  <si>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</si>
  <si>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</si>
  <si>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</si>
  <si>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</si>
  <si>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</si>
  <si>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</si>
  <si>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</si>
  <si>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</si>
  <si>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</si>
  <si>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</si>
  <si>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</si>
  <si>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</si>
  <si>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</si>
  <si>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</si>
  <si>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</si>
  <si>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</si>
  <si>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</si>
  <si>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</si>
  <si>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</si>
  <si>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</si>
  <si>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</si>
  <si>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</si>
  <si>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</si>
  <si>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</si>
  <si>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</si>
  <si>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</si>
  <si>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</si>
  <si>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</si>
  <si>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</si>
  <si>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</si>
  <si>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</si>
  <si>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</si>
  <si>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</si>
  <si>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</si>
  <si>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</si>
  <si>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</si>
  <si>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</si>
  <si>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</si>
  <si>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</si>
  <si>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</si>
  <si>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</si>
  <si>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</si>
  <si>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</si>
  <si>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</si>
  <si>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</si>
  <si>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</si>
  <si>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</si>
  <si>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</si>
  <si>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</si>
  <si>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</si>
  <si>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</si>
  <si>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</si>
  <si>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</si>
  <si>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</si>
  <si>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</si>
  <si>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</si>
  <si>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</si>
  <si>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</si>
  <si>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</si>
  <si>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</si>
  <si>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</si>
  <si>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</si>
  <si>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</si>
  <si>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</si>
  <si>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</si>
  <si>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</si>
  <si>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</si>
  <si>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</si>
  <si>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</si>
  <si>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</si>
  <si>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</si>
  <si>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</si>
  <si>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</si>
  <si>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</si>
  <si>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Informacja z wykonania budżetów jednostek samorządu terytorialnego za III Kwartały 2020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</si>
</sst>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7" fillId="0" borderId="19" xfId="91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">
        <v>113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12.75"/>
    <row r="3" spans="2:13" ht="66.75" customHeight="1">
      <c r="B3" s="98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8"/>
      <c r="C4" s="99" t="s">
        <v>81</v>
      </c>
      <c r="D4" s="99"/>
      <c r="E4" s="99"/>
      <c r="F4" s="99"/>
      <c r="G4" s="99"/>
      <c r="H4" s="99"/>
      <c r="I4" s="99"/>
      <c r="J4" s="99"/>
      <c r="K4" s="99" t="s">
        <v>4</v>
      </c>
      <c r="L4" s="99"/>
      <c r="M4" s="99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301049169355.07</f>
        <v>301049169355.07</v>
      </c>
      <c r="D6" s="69">
        <f>226611356321.65</f>
        <v>226611356321.65</v>
      </c>
      <c r="E6" s="69">
        <f>219135903149.65</f>
        <v>219135903149.65</v>
      </c>
      <c r="F6" s="69">
        <f>2409451084.57</f>
        <v>2409451084.57</v>
      </c>
      <c r="G6" s="69">
        <f>653487210.18</f>
        <v>653487210.18</v>
      </c>
      <c r="H6" s="69">
        <f>109369533.36</f>
        <v>109369533.36</v>
      </c>
      <c r="I6" s="69">
        <f>248422816.86</f>
        <v>248422816.86</v>
      </c>
      <c r="J6" s="69">
        <f>5610238.99</f>
        <v>5610238.99</v>
      </c>
      <c r="K6" s="70">
        <f aca="true" t="shared" si="0" ref="K6:K46">IF($D$6=0,"",100*$D6/$D$6)</f>
        <v>100</v>
      </c>
      <c r="L6" s="70">
        <f aca="true" t="shared" si="1" ref="L6:L50">IF(C6=0,"",100*D6/C6)</f>
        <v>75.27386865312194</v>
      </c>
      <c r="M6" s="70"/>
    </row>
    <row r="7" spans="2:13" ht="38.25" customHeight="1">
      <c r="B7" s="20" t="s">
        <v>62</v>
      </c>
      <c r="C7" s="25">
        <f>C6-C22-C40</f>
        <v>140235583121.19</v>
      </c>
      <c r="D7" s="25">
        <f>D6-D22-D40</f>
        <v>103721308351.59</v>
      </c>
      <c r="E7" s="25">
        <f>E6-E22-E40</f>
        <v>100210631290.68</v>
      </c>
      <c r="F7" s="25">
        <f>F6</f>
        <v>2409451084.57</v>
      </c>
      <c r="G7" s="25">
        <f>G6</f>
        <v>653487210.18</v>
      </c>
      <c r="H7" s="25">
        <f>H6</f>
        <v>109369533.36</v>
      </c>
      <c r="I7" s="25">
        <f>I6</f>
        <v>248422816.86</v>
      </c>
      <c r="J7" s="25">
        <f>J6</f>
        <v>5610238.99</v>
      </c>
      <c r="K7" s="31">
        <f t="shared" si="0"/>
        <v>45.77056950507324</v>
      </c>
      <c r="L7" s="31">
        <f t="shared" si="1"/>
        <v>73.9621899400206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10316527258.96</f>
        <v>10316527258.96</v>
      </c>
      <c r="D8" s="23">
        <f>8347935003.09</f>
        <v>8347935003.09</v>
      </c>
      <c r="E8" s="23">
        <f>8447903171.83</f>
        <v>8447903171.83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3.6838114111284965</v>
      </c>
      <c r="L8" s="32">
        <f t="shared" si="1"/>
        <v>80.91807246318999</v>
      </c>
      <c r="M8" s="32">
        <f t="shared" si="2"/>
        <v>8.048428173305076</v>
      </c>
    </row>
    <row r="9" spans="2:13" ht="32.25" customHeight="1">
      <c r="B9" s="21" t="s">
        <v>19</v>
      </c>
      <c r="C9" s="23">
        <f>55447595320.55</f>
        <v>55447595320.55</v>
      </c>
      <c r="D9" s="23">
        <f>38528311524</f>
        <v>38528311524</v>
      </c>
      <c r="E9" s="23">
        <f>34974166069.85</f>
        <v>34974166069.85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17.00193324350139</v>
      </c>
      <c r="L9" s="32">
        <f t="shared" si="1"/>
        <v>69.48599177522966</v>
      </c>
      <c r="M9" s="32">
        <f t="shared" si="2"/>
        <v>37.145994527371755</v>
      </c>
    </row>
    <row r="10" spans="2:13" ht="32.25" customHeight="1">
      <c r="B10" s="21" t="s">
        <v>20</v>
      </c>
      <c r="C10" s="23">
        <f>1640987332.54</f>
        <v>1640987332.54</v>
      </c>
      <c r="D10" s="23">
        <f>1265025908.3</f>
        <v>1265025908.3</v>
      </c>
      <c r="E10" s="23">
        <f>1264329402.01</f>
        <v>1264329402.01</v>
      </c>
      <c r="F10" s="23">
        <f>114490347.04</f>
        <v>114490347.04</v>
      </c>
      <c r="G10" s="23">
        <f>1426897.35</f>
        <v>1426897.35</v>
      </c>
      <c r="H10" s="23">
        <f>2864806.91</f>
        <v>2864806.91</v>
      </c>
      <c r="I10" s="23">
        <f>2916542.17</f>
        <v>2916542.17</v>
      </c>
      <c r="J10" s="24">
        <f>2040.15</f>
        <v>2040.15</v>
      </c>
      <c r="K10" s="32">
        <f t="shared" si="0"/>
        <v>0.5582358840412368</v>
      </c>
      <c r="L10" s="32">
        <f t="shared" si="1"/>
        <v>77.08931587801665</v>
      </c>
      <c r="M10" s="32">
        <f t="shared" si="2"/>
        <v>1.2196393666881544</v>
      </c>
    </row>
    <row r="11" spans="2:13" ht="32.25" customHeight="1">
      <c r="B11" s="21" t="s">
        <v>21</v>
      </c>
      <c r="C11" s="23">
        <f>24103599200.01</f>
        <v>24103599200.01</v>
      </c>
      <c r="D11" s="23">
        <f>18265259504.01</f>
        <v>18265259504.01</v>
      </c>
      <c r="E11" s="23">
        <f>18257654659.79</f>
        <v>18257654659.79</v>
      </c>
      <c r="F11" s="23">
        <f>1515494288.47</f>
        <v>1515494288.47</v>
      </c>
      <c r="G11" s="23">
        <f>635425194.38</f>
        <v>635425194.38</v>
      </c>
      <c r="H11" s="23">
        <f>90922131.06</f>
        <v>90922131.06</v>
      </c>
      <c r="I11" s="23">
        <f>210035436.01</f>
        <v>210035436.01</v>
      </c>
      <c r="J11" s="24">
        <f>4798504.03</f>
        <v>4798504.03</v>
      </c>
      <c r="K11" s="32">
        <f t="shared" si="0"/>
        <v>8.060169534524325</v>
      </c>
      <c r="L11" s="32">
        <f t="shared" si="1"/>
        <v>75.77814148188467</v>
      </c>
      <c r="M11" s="32">
        <f t="shared" si="2"/>
        <v>17.6099393599001</v>
      </c>
    </row>
    <row r="12" spans="2:13" ht="32.25" customHeight="1">
      <c r="B12" s="21" t="s">
        <v>22</v>
      </c>
      <c r="C12" s="23">
        <f>303389765.51</f>
        <v>303389765.51</v>
      </c>
      <c r="D12" s="23">
        <f>233214086.41</f>
        <v>233214086.41</v>
      </c>
      <c r="E12" s="23">
        <f>233580228.96</f>
        <v>233580228.96</v>
      </c>
      <c r="F12" s="23">
        <f>1442348.55</f>
        <v>1442348.55</v>
      </c>
      <c r="G12" s="23">
        <f>374162.36</f>
        <v>374162.36</v>
      </c>
      <c r="H12" s="23">
        <f>84270.41</f>
        <v>84270.41</v>
      </c>
      <c r="I12" s="23">
        <f>19276.62</f>
        <v>19276.62</v>
      </c>
      <c r="J12" s="24">
        <f>88.73</f>
        <v>88.73</v>
      </c>
      <c r="K12" s="32">
        <f t="shared" si="0"/>
        <v>0.10291368014186286</v>
      </c>
      <c r="L12" s="32">
        <f t="shared" si="1"/>
        <v>76.86946394449586</v>
      </c>
      <c r="M12" s="32">
        <f t="shared" si="2"/>
        <v>0.22484684209676664</v>
      </c>
    </row>
    <row r="13" spans="2:13" ht="32.25" customHeight="1">
      <c r="B13" s="21" t="s">
        <v>23</v>
      </c>
      <c r="C13" s="23">
        <f>1178222168.15</f>
        <v>1178222168.15</v>
      </c>
      <c r="D13" s="23">
        <f>1030960871</f>
        <v>1030960871</v>
      </c>
      <c r="E13" s="23">
        <f>1030878442.62</f>
        <v>1030878442.62</v>
      </c>
      <c r="F13" s="23">
        <f>772839809.89</f>
        <v>772839809.89</v>
      </c>
      <c r="G13" s="23">
        <f>2936555.22</f>
        <v>2936555.22</v>
      </c>
      <c r="H13" s="23">
        <f>5106277.14</f>
        <v>5106277.14</v>
      </c>
      <c r="I13" s="23">
        <f>6532968.97</f>
        <v>6532968.97</v>
      </c>
      <c r="J13" s="24">
        <f>2695.68</f>
        <v>2695.68</v>
      </c>
      <c r="K13" s="32">
        <f t="shared" si="0"/>
        <v>0.4549466927582676</v>
      </c>
      <c r="L13" s="32">
        <f t="shared" si="1"/>
        <v>87.50139819714781</v>
      </c>
      <c r="M13" s="32">
        <f t="shared" si="2"/>
        <v>0.9939721040784537</v>
      </c>
    </row>
    <row r="14" spans="2:13" ht="43.5" customHeight="1">
      <c r="B14" s="21" t="s">
        <v>46</v>
      </c>
      <c r="C14" s="23">
        <f>64382314.65</f>
        <v>64382314.65</v>
      </c>
      <c r="D14" s="23">
        <f>46536390.6</f>
        <v>46536390.6</v>
      </c>
      <c r="E14" s="23">
        <f>47012339.69</f>
        <v>47012339.69</v>
      </c>
      <c r="F14" s="23">
        <f>0</f>
        <v>0</v>
      </c>
      <c r="G14" s="23">
        <f>0</f>
        <v>0</v>
      </c>
      <c r="H14" s="23">
        <f>54286.22</f>
        <v>54286.22</v>
      </c>
      <c r="I14" s="23">
        <f>423416.56</f>
        <v>423416.56</v>
      </c>
      <c r="J14" s="24">
        <f>0</f>
        <v>0</v>
      </c>
      <c r="K14" s="32">
        <f t="shared" si="0"/>
        <v>0.0205357716203537</v>
      </c>
      <c r="L14" s="32">
        <f t="shared" si="1"/>
        <v>72.28132578485977</v>
      </c>
      <c r="M14" s="32">
        <f t="shared" si="2"/>
        <v>0.0448667601089768</v>
      </c>
    </row>
    <row r="15" spans="2:13" ht="32.25" customHeight="1">
      <c r="B15" s="21" t="s">
        <v>28</v>
      </c>
      <c r="C15" s="23">
        <f>269413089.3</f>
        <v>269413089.3</v>
      </c>
      <c r="D15" s="23">
        <f>213683294.69</f>
        <v>213683294.69</v>
      </c>
      <c r="E15" s="23">
        <f>211982441.82</f>
        <v>211982441.82</v>
      </c>
      <c r="F15" s="23">
        <f>0</f>
        <v>0</v>
      </c>
      <c r="G15" s="23">
        <f>12426</f>
        <v>12426</v>
      </c>
      <c r="H15" s="23">
        <f>2952071.3</f>
        <v>2952071.3</v>
      </c>
      <c r="I15" s="23">
        <f>7285196.16</f>
        <v>7285196.16</v>
      </c>
      <c r="J15" s="24">
        <f>0</f>
        <v>0</v>
      </c>
      <c r="K15" s="32">
        <f t="shared" si="0"/>
        <v>0.09429505129773813</v>
      </c>
      <c r="L15" s="32">
        <f t="shared" si="1"/>
        <v>79.31437007949413</v>
      </c>
      <c r="M15" s="32">
        <f t="shared" si="2"/>
        <v>0.2060167752277725</v>
      </c>
    </row>
    <row r="16" spans="2:13" ht="32.25" customHeight="1">
      <c r="B16" s="21" t="s">
        <v>29</v>
      </c>
      <c r="C16" s="23">
        <f>2536493917.17</f>
        <v>2536493917.17</v>
      </c>
      <c r="D16" s="23">
        <f>2118675492.91</f>
        <v>2118675492.91</v>
      </c>
      <c r="E16" s="23">
        <f>2115646555.41</f>
        <v>2115646555.41</v>
      </c>
      <c r="F16" s="23">
        <f>0</f>
        <v>0</v>
      </c>
      <c r="G16" s="23">
        <f>0</f>
        <v>0</v>
      </c>
      <c r="H16" s="23">
        <f>70395.57</f>
        <v>70395.57</v>
      </c>
      <c r="I16" s="23">
        <f>4966732.6</f>
        <v>4966732.6</v>
      </c>
      <c r="J16" s="24">
        <f>0</f>
        <v>0</v>
      </c>
      <c r="K16" s="32">
        <f t="shared" si="0"/>
        <v>0.9349379163075888</v>
      </c>
      <c r="L16" s="32">
        <f t="shared" si="1"/>
        <v>83.52771826371396</v>
      </c>
      <c r="M16" s="32">
        <f t="shared" si="2"/>
        <v>2.04266175059054</v>
      </c>
    </row>
    <row r="17" spans="2:13" ht="32.25" customHeight="1">
      <c r="B17" s="21" t="s">
        <v>30</v>
      </c>
      <c r="C17" s="23">
        <f>477188749.68</f>
        <v>477188749.68</v>
      </c>
      <c r="D17" s="23">
        <f>354937628.49</f>
        <v>354937628.49</v>
      </c>
      <c r="E17" s="23">
        <f>354636325.55</f>
        <v>354636325.55</v>
      </c>
      <c r="F17" s="23">
        <f>0</f>
        <v>0</v>
      </c>
      <c r="G17" s="23">
        <f>0</f>
        <v>0</v>
      </c>
      <c r="H17" s="23">
        <f>5268</f>
        <v>5268</v>
      </c>
      <c r="I17" s="23">
        <f>10386</f>
        <v>10386</v>
      </c>
      <c r="J17" s="24">
        <f>0</f>
        <v>0</v>
      </c>
      <c r="K17" s="32">
        <f t="shared" si="0"/>
        <v>0.15662835007536202</v>
      </c>
      <c r="L17" s="32">
        <f t="shared" si="1"/>
        <v>74.3809716234968</v>
      </c>
      <c r="M17" s="32">
        <f t="shared" si="2"/>
        <v>0.3422031925077997</v>
      </c>
    </row>
    <row r="18" spans="2:13" ht="32.25" customHeight="1">
      <c r="B18" s="21" t="s">
        <v>31</v>
      </c>
      <c r="C18" s="23">
        <f>437847819.91</f>
        <v>437847819.91</v>
      </c>
      <c r="D18" s="23">
        <f>415945260.33</f>
        <v>415945260.33</v>
      </c>
      <c r="E18" s="23">
        <f>415738495.3</f>
        <v>415738495.3</v>
      </c>
      <c r="F18" s="23">
        <f>0</f>
        <v>0</v>
      </c>
      <c r="G18" s="23">
        <f>0</f>
        <v>0</v>
      </c>
      <c r="H18" s="23">
        <f>99596.48</f>
        <v>99596.48</v>
      </c>
      <c r="I18" s="23">
        <f>570281.93</f>
        <v>570281.93</v>
      </c>
      <c r="J18" s="24">
        <f>0</f>
        <v>0</v>
      </c>
      <c r="K18" s="32">
        <f t="shared" si="0"/>
        <v>0.18355005110141578</v>
      </c>
      <c r="L18" s="32">
        <f t="shared" si="1"/>
        <v>94.99767759846284</v>
      </c>
      <c r="M18" s="32">
        <f t="shared" si="2"/>
        <v>0.4010219953262128</v>
      </c>
    </row>
    <row r="19" spans="2:13" ht="32.25" customHeight="1">
      <c r="B19" s="21" t="s">
        <v>32</v>
      </c>
      <c r="C19" s="23">
        <f>133858630</f>
        <v>133858630</v>
      </c>
      <c r="D19" s="23">
        <f>85585086.31</f>
        <v>85585086.31</v>
      </c>
      <c r="E19" s="23">
        <f>85528764</f>
        <v>85528764</v>
      </c>
      <c r="F19" s="23">
        <f>1326101.3</f>
        <v>1326101.3</v>
      </c>
      <c r="G19" s="23">
        <f>90954</f>
        <v>90954</v>
      </c>
      <c r="H19" s="23">
        <f>3304</f>
        <v>3304</v>
      </c>
      <c r="I19" s="23">
        <f>107951.12</f>
        <v>107951.12</v>
      </c>
      <c r="J19" s="24">
        <f>0</f>
        <v>0</v>
      </c>
      <c r="K19" s="32">
        <f t="shared" si="0"/>
        <v>0.03776734215761074</v>
      </c>
      <c r="L19" s="32">
        <f t="shared" si="1"/>
        <v>63.93692084701599</v>
      </c>
      <c r="M19" s="32">
        <f t="shared" si="2"/>
        <v>0.08251446850235188</v>
      </c>
    </row>
    <row r="20" spans="2:13" ht="32.25" customHeight="1">
      <c r="B20" s="21" t="s">
        <v>24</v>
      </c>
      <c r="C20" s="23">
        <f>8840091278.95</f>
        <v>8840091278.95</v>
      </c>
      <c r="D20" s="23">
        <f>5453424014.62</f>
        <v>5453424014.62</v>
      </c>
      <c r="E20" s="23">
        <f>5446153080.42</f>
        <v>5446153080.42</v>
      </c>
      <c r="F20" s="23">
        <f>0</f>
        <v>0</v>
      </c>
      <c r="G20" s="23">
        <f>2477.44</f>
        <v>2477.44</v>
      </c>
      <c r="H20" s="23">
        <f>0</f>
        <v>0</v>
      </c>
      <c r="I20" s="23">
        <f>133724.4</f>
        <v>133724.4</v>
      </c>
      <c r="J20" s="24">
        <f>0</f>
        <v>0</v>
      </c>
      <c r="K20" s="32">
        <f t="shared" si="0"/>
        <v>2.4065095867832245</v>
      </c>
      <c r="L20" s="32">
        <f t="shared" si="1"/>
        <v>61.68967991999899</v>
      </c>
      <c r="M20" s="32">
        <f t="shared" si="2"/>
        <v>5.257766317538359</v>
      </c>
    </row>
    <row r="21" spans="2:13" ht="32.25" customHeight="1">
      <c r="B21" s="21" t="s">
        <v>25</v>
      </c>
      <c r="C21" s="23">
        <f>C7-C8-C9-C10-C11-C12-C13-C14-C15-C16-C17-C18-C19-C20</f>
        <v>34485986275.81001</v>
      </c>
      <c r="D21" s="23">
        <f aca="true" t="shared" si="3" ref="D21:J21">D7-D8-D9-D10-D11-D12-D13-D14-D15-D16-D17-D18-D19-D20</f>
        <v>27361814286.829994</v>
      </c>
      <c r="E21" s="23">
        <f t="shared" si="3"/>
        <v>27325421313.429985</v>
      </c>
      <c r="F21" s="23">
        <f t="shared" si="3"/>
        <v>3858189.3200002434</v>
      </c>
      <c r="G21" s="23">
        <f t="shared" si="3"/>
        <v>13218543.429999929</v>
      </c>
      <c r="H21" s="23">
        <f t="shared" si="3"/>
        <v>7207126.269999999</v>
      </c>
      <c r="I21" s="23">
        <f t="shared" si="3"/>
        <v>15420904.320000043</v>
      </c>
      <c r="J21" s="24">
        <f t="shared" si="3"/>
        <v>806910.3999999996</v>
      </c>
      <c r="K21" s="32">
        <f t="shared" si="0"/>
        <v>12.074334989634366</v>
      </c>
      <c r="L21" s="32">
        <f t="shared" si="1"/>
        <v>79.34183487749856</v>
      </c>
      <c r="M21" s="32">
        <f t="shared" si="2"/>
        <v>26.38012836675768</v>
      </c>
    </row>
    <row r="22" spans="2:13" ht="36.75" customHeight="1">
      <c r="B22" s="68" t="s">
        <v>70</v>
      </c>
      <c r="C22" s="69">
        <f>C23+C36+C38</f>
        <v>94642654422.2</v>
      </c>
      <c r="D22" s="69">
        <f>D23+D36+D38</f>
        <v>68356908624.06</v>
      </c>
      <c r="E22" s="69">
        <f>E23+E36+E38</f>
        <v>68170910263.46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30.16482039277628</v>
      </c>
      <c r="L22" s="70">
        <f t="shared" si="1"/>
        <v>72.22632230824853</v>
      </c>
      <c r="M22" s="73"/>
    </row>
    <row r="23" spans="2:13" ht="36.75" customHeight="1">
      <c r="B23" s="68" t="s">
        <v>63</v>
      </c>
      <c r="C23" s="69">
        <f>C24+C26+C28+C30+C32+C34</f>
        <v>70109093632.53</v>
      </c>
      <c r="D23" s="69">
        <f>D24+D26+D28+D30+D32+D34</f>
        <v>55044272468.06999</v>
      </c>
      <c r="E23" s="69">
        <f>E24+E26+E28+E30+E32+E34</f>
        <v>54891581866.770004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24.29016504801316</v>
      </c>
      <c r="L23" s="70">
        <f t="shared" si="1"/>
        <v>78.51231504514834</v>
      </c>
      <c r="M23" s="73"/>
    </row>
    <row r="24" spans="2:13" ht="33.75" customHeight="1">
      <c r="B24" s="71" t="s">
        <v>9</v>
      </c>
      <c r="C24" s="24">
        <f>59948530355.73</f>
        <v>59948530355.73</v>
      </c>
      <c r="D24" s="24">
        <f>48286857847.35</f>
        <v>48286857847.35</v>
      </c>
      <c r="E24" s="24">
        <f>48136592325.62</f>
        <v>48136592325.62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21.308225073597853</v>
      </c>
      <c r="L24" s="32">
        <f t="shared" si="1"/>
        <v>80.54719200090389</v>
      </c>
      <c r="M24" s="28"/>
    </row>
    <row r="25" spans="2:13" ht="21" customHeight="1">
      <c r="B25" s="74" t="s">
        <v>6</v>
      </c>
      <c r="C25" s="24">
        <f>192498091.63</f>
        <v>192498091.63</v>
      </c>
      <c r="D25" s="24">
        <f>124958403.6</f>
        <v>124958403.6</v>
      </c>
      <c r="E25" s="24">
        <f>124958402.01</f>
        <v>124958402.01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0.055142163053221054</v>
      </c>
      <c r="L25" s="32">
        <f t="shared" si="1"/>
        <v>64.9140999486801</v>
      </c>
      <c r="M25" s="28"/>
    </row>
    <row r="26" spans="2:13" ht="33.75" customHeight="1">
      <c r="B26" s="71" t="s">
        <v>7</v>
      </c>
      <c r="C26" s="24">
        <f>6226792618.94</f>
        <v>6226792618.94</v>
      </c>
      <c r="D26" s="24">
        <f>4402585590.75</f>
        <v>4402585590.75</v>
      </c>
      <c r="E26" s="24">
        <f>4395948274.59</f>
        <v>4395948274.59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1.9427912449811262</v>
      </c>
      <c r="L26" s="32">
        <f t="shared" si="1"/>
        <v>70.70390584967741</v>
      </c>
      <c r="M26" s="28"/>
    </row>
    <row r="27" spans="2:13" ht="21" customHeight="1">
      <c r="B27" s="74" t="s">
        <v>6</v>
      </c>
      <c r="C27" s="24">
        <f>656321922.98</f>
        <v>656321922.98</v>
      </c>
      <c r="D27" s="24">
        <f>249747092.61</f>
        <v>249747092.61</v>
      </c>
      <c r="E27" s="24">
        <f>249433011.23</f>
        <v>249433011.23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0.11020943374766769</v>
      </c>
      <c r="L27" s="32">
        <f t="shared" si="1"/>
        <v>38.052529386194294</v>
      </c>
      <c r="M27" s="28"/>
    </row>
    <row r="28" spans="2:13" ht="39.75" customHeight="1">
      <c r="B28" s="71" t="s">
        <v>10</v>
      </c>
      <c r="C28" s="24">
        <f>227151832.38</f>
        <v>227151832.38</v>
      </c>
      <c r="D28" s="24">
        <f>145584829.2</f>
        <v>145584829.2</v>
      </c>
      <c r="E28" s="24">
        <f>150365917.81</f>
        <v>150365917.81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0.06424427776397855</v>
      </c>
      <c r="L28" s="32">
        <f t="shared" si="1"/>
        <v>64.09141747817935</v>
      </c>
      <c r="M28" s="28"/>
    </row>
    <row r="29" spans="2:13" ht="21" customHeight="1">
      <c r="B29" s="74" t="s">
        <v>6</v>
      </c>
      <c r="C29" s="24">
        <f>44519278.48</f>
        <v>44519278.48</v>
      </c>
      <c r="D29" s="24">
        <f>13164036.66</f>
        <v>13164036.66</v>
      </c>
      <c r="E29" s="24">
        <f>18923363.66</f>
        <v>18923363.66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0.005809080742323916</v>
      </c>
      <c r="L29" s="32">
        <f t="shared" si="1"/>
        <v>29.56929471782401</v>
      </c>
      <c r="M29" s="28"/>
    </row>
    <row r="30" spans="2:13" ht="39.75" customHeight="1">
      <c r="B30" s="71" t="s">
        <v>11</v>
      </c>
      <c r="C30" s="24">
        <f>1496810431.81</f>
        <v>1496810431.81</v>
      </c>
      <c r="D30" s="24">
        <f>912708908.24</f>
        <v>912708908.24</v>
      </c>
      <c r="E30" s="24">
        <f>912046289.57</f>
        <v>912046289.57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0.40276397575790934</v>
      </c>
      <c r="L30" s="32">
        <f t="shared" si="1"/>
        <v>60.97692058013771</v>
      </c>
      <c r="M30" s="28"/>
    </row>
    <row r="31" spans="2:13" ht="21" customHeight="1">
      <c r="B31" s="74" t="s">
        <v>6</v>
      </c>
      <c r="C31" s="24">
        <f>373253102.14</f>
        <v>373253102.14</v>
      </c>
      <c r="D31" s="24">
        <f>95003829.86</f>
        <v>95003829.86</v>
      </c>
      <c r="E31" s="24">
        <f>95003529.86</f>
        <v>95003529.86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0.04192368440933405</v>
      </c>
      <c r="L31" s="32">
        <f t="shared" si="1"/>
        <v>25.452924387046597</v>
      </c>
      <c r="M31" s="28"/>
    </row>
    <row r="32" spans="2:13" ht="39.75" customHeight="1">
      <c r="B32" s="71" t="s">
        <v>82</v>
      </c>
      <c r="C32" s="24">
        <f>1340442793.84</f>
        <v>1340442793.84</v>
      </c>
      <c r="D32" s="24">
        <f>667562778.84</f>
        <v>667562778.84</v>
      </c>
      <c r="E32" s="24">
        <f>666982905.57</f>
        <v>666982905.57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0.2945848741545273</v>
      </c>
      <c r="L32" s="32">
        <f t="shared" si="1"/>
        <v>49.80166120537052</v>
      </c>
      <c r="M32" s="28"/>
    </row>
    <row r="33" spans="2:13" ht="24" customHeight="1">
      <c r="B33" s="74" t="s">
        <v>6</v>
      </c>
      <c r="C33" s="24">
        <f>1088729592.87</f>
        <v>1088729592.87</v>
      </c>
      <c r="D33" s="24">
        <f>505061796.94</f>
        <v>505061796.94</v>
      </c>
      <c r="E33" s="24">
        <f>504540660.14</f>
        <v>504540660.14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0.22287576630675124</v>
      </c>
      <c r="L33" s="32">
        <f t="shared" si="1"/>
        <v>46.39001274950254</v>
      </c>
      <c r="M33" s="28"/>
    </row>
    <row r="34" spans="2:13" ht="22.5" customHeight="1">
      <c r="B34" s="71" t="s">
        <v>8</v>
      </c>
      <c r="C34" s="24">
        <f>869365599.83</f>
        <v>869365599.83</v>
      </c>
      <c r="D34" s="24">
        <f>628972513.69</f>
        <v>628972513.69</v>
      </c>
      <c r="E34" s="24">
        <f>629646153.61</f>
        <v>629646153.61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0.27755560175777005</v>
      </c>
      <c r="L34" s="32">
        <f t="shared" si="1"/>
        <v>72.34844739807883</v>
      </c>
      <c r="M34" s="28"/>
    </row>
    <row r="35" spans="2:13" ht="21" customHeight="1">
      <c r="B35" s="74" t="s">
        <v>6</v>
      </c>
      <c r="C35" s="24">
        <f>751030815.37</f>
        <v>751030815.37</v>
      </c>
      <c r="D35" s="24">
        <f>549902740.69</f>
        <v>549902740.69</v>
      </c>
      <c r="E35" s="24">
        <f>551112045.96</f>
        <v>551112045.96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0.24266336410319764</v>
      </c>
      <c r="L35" s="32">
        <f t="shared" si="1"/>
        <v>73.21973072690594</v>
      </c>
      <c r="M35" s="28"/>
    </row>
    <row r="36" spans="2:13" ht="25.5" customHeight="1">
      <c r="B36" s="68" t="s">
        <v>72</v>
      </c>
      <c r="C36" s="69">
        <f>3386634650.62</f>
        <v>3386634650.62</v>
      </c>
      <c r="D36" s="69">
        <f>1906678695.12</f>
        <v>1906678695.12</v>
      </c>
      <c r="E36" s="69">
        <f>1899401141.63</f>
        <v>1899401141.63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0.8413870893626701</v>
      </c>
      <c r="L36" s="70">
        <f t="shared" si="1"/>
        <v>56.300100005500724</v>
      </c>
      <c r="M36" s="28"/>
    </row>
    <row r="37" spans="2:13" ht="19.5" customHeight="1">
      <c r="B37" s="29" t="s">
        <v>73</v>
      </c>
      <c r="C37" s="23">
        <f>2289764532.04</f>
        <v>2289764532.04</v>
      </c>
      <c r="D37" s="23">
        <f>1092155310.67</f>
        <v>1092155310.67</v>
      </c>
      <c r="E37" s="23">
        <f>1092865974.37</f>
        <v>1092865974.37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0.48195082911899845</v>
      </c>
      <c r="L37" s="32">
        <f t="shared" si="1"/>
        <v>47.6972760905234</v>
      </c>
      <c r="M37" s="28"/>
    </row>
    <row r="38" spans="2:13" ht="25.5" customHeight="1">
      <c r="B38" s="68" t="s">
        <v>97</v>
      </c>
      <c r="C38" s="69">
        <f>21146926139.05</f>
        <v>21146926139.05</v>
      </c>
      <c r="D38" s="69">
        <f>11405957460.87</f>
        <v>11405957460.87</v>
      </c>
      <c r="E38" s="69">
        <f>11379927255.06</f>
        <v>11379927255.06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5.033268255400445</v>
      </c>
      <c r="L38" s="70">
        <f t="shared" si="1"/>
        <v>53.936715841683075</v>
      </c>
      <c r="M38" s="28"/>
    </row>
    <row r="39" spans="2:13" ht="21" customHeight="1">
      <c r="B39" s="29" t="s">
        <v>98</v>
      </c>
      <c r="C39" s="23">
        <f>16062089122.97</f>
        <v>16062089122.97</v>
      </c>
      <c r="D39" s="23">
        <f>7763355094.97</f>
        <v>7763355094.97</v>
      </c>
      <c r="E39" s="23">
        <f>7757515142.41</f>
        <v>7757515142.41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3.425845562634014</v>
      </c>
      <c r="L39" s="32">
        <f t="shared" si="1"/>
        <v>48.333408160883735</v>
      </c>
      <c r="M39" s="28"/>
    </row>
    <row r="40" spans="2:13" ht="35.25" customHeight="1">
      <c r="B40" s="68" t="s">
        <v>64</v>
      </c>
      <c r="C40" s="69">
        <f>C41+C42+C43+C44+C45+C46</f>
        <v>66170931811.68</v>
      </c>
      <c r="D40" s="69">
        <f>D41+D42+D43+D44+D45+D46</f>
        <v>54533139346</v>
      </c>
      <c r="E40" s="69">
        <f>E41+E42+E43+E44+E45+E46</f>
        <v>50754361595.51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24.06461010215048</v>
      </c>
      <c r="L40" s="70">
        <f t="shared" si="1"/>
        <v>82.41253047667408</v>
      </c>
      <c r="M40" s="28"/>
    </row>
    <row r="41" spans="2:13" ht="26.25" customHeight="1">
      <c r="B41" s="21" t="s">
        <v>50</v>
      </c>
      <c r="C41" s="23">
        <f>13231103451.68</f>
        <v>13231103451.68</v>
      </c>
      <c r="D41" s="23">
        <f>9923148279</f>
        <v>9923148279</v>
      </c>
      <c r="E41" s="23">
        <f>9922641051</f>
        <v>9922641051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4.378928064361955</v>
      </c>
      <c r="L41" s="32">
        <f t="shared" si="1"/>
        <v>74.99864478604785</v>
      </c>
      <c r="M41" s="28"/>
    </row>
    <row r="42" spans="2:13" ht="26.25" customHeight="1">
      <c r="B42" s="21" t="s">
        <v>49</v>
      </c>
      <c r="C42" s="23">
        <f>49707412062</f>
        <v>49707412062</v>
      </c>
      <c r="D42" s="23">
        <f>42077838546</f>
        <v>42077838546</v>
      </c>
      <c r="E42" s="23">
        <f>38299293206.51</f>
        <v>38299293206.51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18.56828326214822</v>
      </c>
      <c r="L42" s="32">
        <f t="shared" si="1"/>
        <v>84.6510345248237</v>
      </c>
      <c r="M42" s="28"/>
    </row>
    <row r="43" spans="2:13" ht="26.25" customHeight="1">
      <c r="B43" s="21" t="s">
        <v>48</v>
      </c>
      <c r="C43" s="23">
        <f>3250459</f>
        <v>3250459</v>
      </c>
      <c r="D43" s="23">
        <f>0</f>
        <v>0</v>
      </c>
      <c r="E43" s="23">
        <f>0</f>
        <v>0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0</v>
      </c>
      <c r="L43" s="32">
        <f t="shared" si="1"/>
        <v>0</v>
      </c>
      <c r="M43" s="28"/>
    </row>
    <row r="44" spans="2:13" ht="26.25" customHeight="1">
      <c r="B44" s="21" t="s">
        <v>47</v>
      </c>
      <c r="C44" s="23">
        <f>2013632038</f>
        <v>2013632038</v>
      </c>
      <c r="D44" s="23">
        <f>1510224633</f>
        <v>1510224633</v>
      </c>
      <c r="E44" s="23">
        <f>1510499450</f>
        <v>1510499450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0.6664381951169304</v>
      </c>
      <c r="L44" s="32">
        <f t="shared" si="1"/>
        <v>75.00003002038052</v>
      </c>
      <c r="M44" s="28"/>
    </row>
    <row r="45" spans="2:13" ht="26.25" customHeight="1">
      <c r="B45" s="21" t="s">
        <v>60</v>
      </c>
      <c r="C45" s="23">
        <f>535614847</f>
        <v>535614847</v>
      </c>
      <c r="D45" s="23">
        <f>400002930</f>
        <v>400002930</v>
      </c>
      <c r="E45" s="23">
        <f>400002930</f>
        <v>400002930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0.1765149533954687</v>
      </c>
      <c r="L45" s="32">
        <f t="shared" si="1"/>
        <v>74.6810758216342</v>
      </c>
      <c r="M45" s="28"/>
    </row>
    <row r="46" spans="2:13" ht="26.25" customHeight="1">
      <c r="B46" s="21" t="s">
        <v>45</v>
      </c>
      <c r="C46" s="23">
        <f>679918954</f>
        <v>679918954</v>
      </c>
      <c r="D46" s="23">
        <f>621924958</f>
        <v>621924958</v>
      </c>
      <c r="E46" s="23">
        <f>621924958</f>
        <v>621924958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0.2744456271279034</v>
      </c>
      <c r="L46" s="32">
        <f t="shared" si="1"/>
        <v>91.47045458009103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301049169355.07</v>
      </c>
      <c r="D48" s="76">
        <f t="shared" si="4"/>
        <v>226611356321.65</v>
      </c>
      <c r="E48" s="76">
        <f t="shared" si="4"/>
        <v>219135903149.65</v>
      </c>
      <c r="F48" s="76">
        <f t="shared" si="4"/>
        <v>2409451084.57</v>
      </c>
      <c r="G48" s="76">
        <f t="shared" si="4"/>
        <v>653487210.18</v>
      </c>
      <c r="H48" s="76">
        <f t="shared" si="4"/>
        <v>109369533.36</v>
      </c>
      <c r="I48" s="76">
        <f t="shared" si="4"/>
        <v>248422816.86</v>
      </c>
      <c r="J48" s="76">
        <f t="shared" si="4"/>
        <v>5610238.99</v>
      </c>
      <c r="K48" s="77">
        <f>IF($D$48=0,"",100*$D48/$D$48)</f>
        <v>100</v>
      </c>
      <c r="L48" s="77">
        <f t="shared" si="1"/>
        <v>75.27386865312194</v>
      </c>
      <c r="M48" s="4"/>
    </row>
    <row r="49" spans="1:13" s="6" customFormat="1" ht="24.75" customHeight="1">
      <c r="A49" s="3"/>
      <c r="B49" s="66" t="s">
        <v>76</v>
      </c>
      <c r="C49" s="67">
        <f>32847187031.24</f>
        <v>32847187031.24</v>
      </c>
      <c r="D49" s="67">
        <f>20306879197.71</f>
        <v>20306879197.71</v>
      </c>
      <c r="E49" s="67">
        <f>20304793908.44</f>
        <v>20304793908.44</v>
      </c>
      <c r="F49" s="67">
        <f>0</f>
        <v>0</v>
      </c>
      <c r="G49" s="67">
        <f>0</f>
        <v>0</v>
      </c>
      <c r="H49" s="67">
        <f>0</f>
        <v>0</v>
      </c>
      <c r="I49" s="67">
        <f>133724.4</f>
        <v>133724.4</v>
      </c>
      <c r="J49" s="67">
        <f>0</f>
        <v>0</v>
      </c>
      <c r="K49" s="33">
        <f>IF($D$48=0,"",100*$D49/$D$48)</f>
        <v>8.961103947891566</v>
      </c>
      <c r="L49" s="33">
        <f t="shared" si="1"/>
        <v>61.822277744504326</v>
      </c>
      <c r="M49" s="4"/>
    </row>
    <row r="50" spans="1:13" s="6" customFormat="1" ht="24.75" customHeight="1">
      <c r="A50" s="3"/>
      <c r="B50" s="66" t="s">
        <v>77</v>
      </c>
      <c r="C50" s="67">
        <f>+C48-C49</f>
        <v>268201982323.83002</v>
      </c>
      <c r="D50" s="67">
        <f aca="true" t="shared" si="5" ref="D50:J50">+D48-D49</f>
        <v>206304477123.94</v>
      </c>
      <c r="E50" s="67">
        <f t="shared" si="5"/>
        <v>198831109241.21</v>
      </c>
      <c r="F50" s="67">
        <f t="shared" si="5"/>
        <v>2409451084.57</v>
      </c>
      <c r="G50" s="67">
        <f t="shared" si="5"/>
        <v>653487210.18</v>
      </c>
      <c r="H50" s="67">
        <f t="shared" si="5"/>
        <v>109369533.36</v>
      </c>
      <c r="I50" s="67">
        <f t="shared" si="5"/>
        <v>248289092.46</v>
      </c>
      <c r="J50" s="67">
        <f t="shared" si="5"/>
        <v>5610238.99</v>
      </c>
      <c r="K50" s="33">
        <f>IF($D$48=0,"",100*$D50/$D$48)</f>
        <v>91.03889605210844</v>
      </c>
      <c r="L50" s="33">
        <f t="shared" si="1"/>
        <v>76.92130958034669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102" t="s">
        <v>113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8" t="s">
        <v>0</v>
      </c>
      <c r="C54" s="97" t="s">
        <v>56</v>
      </c>
      <c r="D54" s="97" t="s">
        <v>57</v>
      </c>
      <c r="E54" s="97" t="s">
        <v>58</v>
      </c>
      <c r="F54" s="97" t="s">
        <v>12</v>
      </c>
      <c r="G54" s="97"/>
      <c r="H54" s="97"/>
      <c r="I54" s="97" t="s">
        <v>99</v>
      </c>
      <c r="J54" s="97"/>
      <c r="K54" s="97" t="s">
        <v>2</v>
      </c>
      <c r="L54" s="105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8"/>
      <c r="C55" s="97"/>
      <c r="D55" s="103"/>
      <c r="E55" s="97"/>
      <c r="F55" s="94" t="s">
        <v>59</v>
      </c>
      <c r="G55" s="104" t="s">
        <v>34</v>
      </c>
      <c r="H55" s="103"/>
      <c r="I55" s="97"/>
      <c r="J55" s="97"/>
      <c r="K55" s="97"/>
      <c r="L55" s="105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8"/>
      <c r="C56" s="97"/>
      <c r="D56" s="103"/>
      <c r="E56" s="97"/>
      <c r="F56" s="103"/>
      <c r="G56" s="18" t="s">
        <v>54</v>
      </c>
      <c r="H56" s="18" t="s">
        <v>55</v>
      </c>
      <c r="I56" s="97"/>
      <c r="J56" s="97"/>
      <c r="K56" s="97"/>
      <c r="L56" s="105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8"/>
      <c r="C57" s="99" t="s">
        <v>81</v>
      </c>
      <c r="D57" s="99"/>
      <c r="E57" s="99"/>
      <c r="F57" s="99"/>
      <c r="G57" s="99"/>
      <c r="H57" s="99"/>
      <c r="I57" s="99"/>
      <c r="J57" s="99"/>
      <c r="K57" s="99" t="s">
        <v>4</v>
      </c>
      <c r="L57" s="9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3">
        <v>8</v>
      </c>
      <c r="J58" s="103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327164833714.91</f>
        <v>327164833714.91</v>
      </c>
      <c r="D59" s="76">
        <f>272316657156.13</f>
        <v>272316657156.13</v>
      </c>
      <c r="E59" s="76">
        <f>207839246060.77</f>
        <v>207839246060.77</v>
      </c>
      <c r="F59" s="76">
        <f>7414933536.43</f>
        <v>7414933536.43</v>
      </c>
      <c r="G59" s="76">
        <f>2140911.85</f>
        <v>2140911.85</v>
      </c>
      <c r="H59" s="76">
        <f>22568264.35</f>
        <v>22568264.35</v>
      </c>
      <c r="I59" s="110">
        <f>0</f>
        <v>0</v>
      </c>
      <c r="J59" s="110"/>
      <c r="K59" s="60">
        <f aca="true" t="shared" si="6" ref="K59:K68">IF($E$59=0,"",100*$E59/$E$59)</f>
        <v>100</v>
      </c>
      <c r="L59" s="60">
        <f aca="true" t="shared" si="7" ref="L59:L68">IF(C59=0,"",100*E59/C59)</f>
        <v>63.52737966999235</v>
      </c>
    </row>
    <row r="60" spans="2:12" ht="24" customHeight="1">
      <c r="B60" s="20" t="s">
        <v>14</v>
      </c>
      <c r="C60" s="26">
        <f>66156095353.88</f>
        <v>66156095353.88</v>
      </c>
      <c r="D60" s="26">
        <f>45603354627.9</f>
        <v>45603354627.9</v>
      </c>
      <c r="E60" s="26">
        <f>26457636268.69</f>
        <v>26457636268.69</v>
      </c>
      <c r="F60" s="26">
        <f>2386265083.76</f>
        <v>2386265083.76</v>
      </c>
      <c r="G60" s="26">
        <f>288762.03</f>
        <v>288762.03</v>
      </c>
      <c r="H60" s="26">
        <f>1814169.08</f>
        <v>1814169.08</v>
      </c>
      <c r="I60" s="111">
        <f>0</f>
        <v>0</v>
      </c>
      <c r="J60" s="112"/>
      <c r="K60" s="34">
        <f t="shared" si="6"/>
        <v>12.729855775628664</v>
      </c>
      <c r="L60" s="34">
        <f t="shared" si="7"/>
        <v>39.99274160175822</v>
      </c>
    </row>
    <row r="61" spans="2:12" ht="22.5" customHeight="1">
      <c r="B61" s="21" t="s">
        <v>13</v>
      </c>
      <c r="C61" s="23">
        <f>64028154541.68</f>
        <v>64028154541.68</v>
      </c>
      <c r="D61" s="23">
        <f>44096419439.33</f>
        <v>44096419439.33</v>
      </c>
      <c r="E61" s="23">
        <f>25081324645.56</f>
        <v>25081324645.56</v>
      </c>
      <c r="F61" s="23">
        <f>2294873153.38</f>
        <v>2294873153.38</v>
      </c>
      <c r="G61" s="23">
        <f>288762.03</f>
        <v>288762.03</v>
      </c>
      <c r="H61" s="23">
        <f>1814169.08</f>
        <v>1814169.08</v>
      </c>
      <c r="I61" s="108">
        <f>0</f>
        <v>0</v>
      </c>
      <c r="J61" s="109"/>
      <c r="K61" s="35">
        <f t="shared" si="6"/>
        <v>12.067655710330323</v>
      </c>
      <c r="L61" s="35">
        <f t="shared" si="7"/>
        <v>39.17233727114994</v>
      </c>
    </row>
    <row r="62" spans="2:12" ht="44.25" customHeight="1">
      <c r="B62" s="68" t="s">
        <v>66</v>
      </c>
      <c r="C62" s="76">
        <f aca="true" t="shared" si="8" ref="C62:I62">C59-C60</f>
        <v>261008738361.02997</v>
      </c>
      <c r="D62" s="76">
        <f t="shared" si="8"/>
        <v>226713302528.23</v>
      </c>
      <c r="E62" s="76">
        <f t="shared" si="8"/>
        <v>181381609792.08</v>
      </c>
      <c r="F62" s="76">
        <f t="shared" si="8"/>
        <v>5028668452.67</v>
      </c>
      <c r="G62" s="76">
        <f t="shared" si="8"/>
        <v>1852149.82</v>
      </c>
      <c r="H62" s="76">
        <f t="shared" si="8"/>
        <v>20754095.270000003</v>
      </c>
      <c r="I62" s="110">
        <f t="shared" si="8"/>
        <v>0</v>
      </c>
      <c r="J62" s="110"/>
      <c r="K62" s="60">
        <f t="shared" si="6"/>
        <v>87.27014422437134</v>
      </c>
      <c r="L62" s="60">
        <f t="shared" si="7"/>
        <v>69.49254302022298</v>
      </c>
    </row>
    <row r="63" spans="2:12" ht="22.5" customHeight="1">
      <c r="B63" s="21" t="s">
        <v>112</v>
      </c>
      <c r="C63" s="23">
        <f>98966014623.71</f>
        <v>98966014623.71</v>
      </c>
      <c r="D63" s="23">
        <f>92028525695.62</f>
        <v>92028525695.62</v>
      </c>
      <c r="E63" s="23">
        <f>70926923362.26</f>
        <v>70926923362.26</v>
      </c>
      <c r="F63" s="23">
        <f>2189732431.1</f>
        <v>2189732431.1</v>
      </c>
      <c r="G63" s="23">
        <f>366783.16</f>
        <v>366783.16</v>
      </c>
      <c r="H63" s="23">
        <f>7054591.05</f>
        <v>7054591.05</v>
      </c>
      <c r="I63" s="108">
        <f>0</f>
        <v>0</v>
      </c>
      <c r="J63" s="109"/>
      <c r="K63" s="35">
        <f t="shared" si="6"/>
        <v>34.12585674099381</v>
      </c>
      <c r="L63" s="35">
        <f t="shared" si="7"/>
        <v>71.66795958384235</v>
      </c>
    </row>
    <row r="64" spans="2:12" ht="22.5" customHeight="1">
      <c r="B64" s="21" t="s">
        <v>53</v>
      </c>
      <c r="C64" s="23">
        <f>26953884753.76</f>
        <v>26953884753.76</v>
      </c>
      <c r="D64" s="23">
        <f>23153055314.84</f>
        <v>23153055314.84</v>
      </c>
      <c r="E64" s="23">
        <f>19509865034.02</f>
        <v>19509865034.02</v>
      </c>
      <c r="F64" s="23">
        <f>88194951.12</f>
        <v>88194951.12</v>
      </c>
      <c r="G64" s="23">
        <f>346000.39</f>
        <v>346000.39</v>
      </c>
      <c r="H64" s="23">
        <f>1108235.35</f>
        <v>1108235.35</v>
      </c>
      <c r="I64" s="108">
        <f>0</f>
        <v>0</v>
      </c>
      <c r="J64" s="109"/>
      <c r="K64" s="35">
        <f t="shared" si="6"/>
        <v>9.386997597323617</v>
      </c>
      <c r="L64" s="35">
        <f t="shared" si="7"/>
        <v>72.38238648066648</v>
      </c>
    </row>
    <row r="65" spans="2:12" ht="22.5" customHeight="1">
      <c r="B65" s="21" t="s">
        <v>52</v>
      </c>
      <c r="C65" s="23">
        <f>2499943521.56</f>
        <v>2499943521.56</v>
      </c>
      <c r="D65" s="23">
        <f>1577635047.76</f>
        <v>1577635047.76</v>
      </c>
      <c r="E65" s="23">
        <f>1244022332.6</f>
        <v>1244022332.6</v>
      </c>
      <c r="F65" s="23">
        <f>25685991.04</f>
        <v>25685991.04</v>
      </c>
      <c r="G65" s="23">
        <f>7957.54</f>
        <v>7957.54</v>
      </c>
      <c r="H65" s="23">
        <f>455.89</f>
        <v>455.89</v>
      </c>
      <c r="I65" s="108">
        <f>0</f>
        <v>0</v>
      </c>
      <c r="J65" s="109"/>
      <c r="K65" s="35">
        <f t="shared" si="6"/>
        <v>0.5985502527449801</v>
      </c>
      <c r="L65" s="35">
        <f t="shared" si="7"/>
        <v>49.762017496447775</v>
      </c>
    </row>
    <row r="66" spans="2:12" ht="33.75" customHeight="1">
      <c r="B66" s="21" t="s">
        <v>69</v>
      </c>
      <c r="C66" s="23">
        <f>375898963.64</f>
        <v>375898963.64</v>
      </c>
      <c r="D66" s="23">
        <f>51908369.17</f>
        <v>51908369.17</v>
      </c>
      <c r="E66" s="23">
        <f>16566454.19</f>
        <v>16566454.19</v>
      </c>
      <c r="F66" s="23">
        <f>91800</f>
        <v>91800</v>
      </c>
      <c r="G66" s="23">
        <f>0</f>
        <v>0</v>
      </c>
      <c r="H66" s="23">
        <f>0</f>
        <v>0</v>
      </c>
      <c r="I66" s="108">
        <f>0</f>
        <v>0</v>
      </c>
      <c r="J66" s="109"/>
      <c r="K66" s="35">
        <f t="shared" si="6"/>
        <v>0.007970801715262259</v>
      </c>
      <c r="L66" s="35">
        <f t="shared" si="7"/>
        <v>4.40715612237382</v>
      </c>
    </row>
    <row r="67" spans="2:12" ht="30" customHeight="1">
      <c r="B67" s="21" t="s">
        <v>71</v>
      </c>
      <c r="C67" s="23">
        <f>58078390113.21</f>
        <v>58078390113.21</v>
      </c>
      <c r="D67" s="23">
        <f>53266437062.67</f>
        <v>53266437062.67</v>
      </c>
      <c r="E67" s="23">
        <f>45395904419.1</f>
        <v>45395904419.1</v>
      </c>
      <c r="F67" s="23">
        <f>551977098.71</f>
        <v>551977098.71</v>
      </c>
      <c r="G67" s="23">
        <f>12478.92</f>
        <v>12478.92</v>
      </c>
      <c r="H67" s="23">
        <f>373821.83</f>
        <v>373821.83</v>
      </c>
      <c r="I67" s="108">
        <f>0</f>
        <v>0</v>
      </c>
      <c r="J67" s="109"/>
      <c r="K67" s="35">
        <f t="shared" si="6"/>
        <v>21.84183462916658</v>
      </c>
      <c r="L67" s="35">
        <f t="shared" si="7"/>
        <v>78.16315901768539</v>
      </c>
    </row>
    <row r="68" spans="2:12" ht="22.5" customHeight="1">
      <c r="B68" s="21" t="s">
        <v>51</v>
      </c>
      <c r="C68" s="23">
        <f aca="true" t="shared" si="9" ref="C68:I68">C62-C63-C64-C65-C66-C67</f>
        <v>74134606385.14996</v>
      </c>
      <c r="D68" s="23">
        <f t="shared" si="9"/>
        <v>56635741038.17003</v>
      </c>
      <c r="E68" s="23">
        <f t="shared" si="9"/>
        <v>44288328189.90998</v>
      </c>
      <c r="F68" s="23">
        <f t="shared" si="9"/>
        <v>2172986180.7000003</v>
      </c>
      <c r="G68" s="23">
        <f t="shared" si="9"/>
        <v>1118929.81</v>
      </c>
      <c r="H68" s="23">
        <f t="shared" si="9"/>
        <v>12216991.150000002</v>
      </c>
      <c r="I68" s="108">
        <f t="shared" si="9"/>
        <v>0</v>
      </c>
      <c r="J68" s="109"/>
      <c r="K68" s="35">
        <f t="shared" si="6"/>
        <v>21.308934202427075</v>
      </c>
      <c r="L68" s="35">
        <f t="shared" si="7"/>
        <v>59.74042400632676</v>
      </c>
    </row>
    <row r="69" spans="2:13" ht="24" customHeight="1">
      <c r="B69" s="20" t="s">
        <v>15</v>
      </c>
      <c r="C69" s="26">
        <f>C6-C59</f>
        <v>-26115664359.839966</v>
      </c>
      <c r="D69" s="26"/>
      <c r="E69" s="26">
        <f>D6-E59</f>
        <v>18772110260.880005</v>
      </c>
      <c r="F69" s="26"/>
      <c r="G69" s="26"/>
      <c r="H69" s="26"/>
      <c r="I69" s="111"/>
      <c r="J69" s="111"/>
      <c r="K69" s="27"/>
      <c r="L69" s="27"/>
      <c r="M69" s="14"/>
    </row>
    <row r="70" spans="2:13" ht="38.25">
      <c r="B70" s="61" t="s">
        <v>80</v>
      </c>
      <c r="C70" s="62">
        <f>+C50-C62</f>
        <v>7193243962.800049</v>
      </c>
      <c r="D70" s="62"/>
      <c r="E70" s="62">
        <f>+D50-E62</f>
        <v>24922867331.860016</v>
      </c>
      <c r="F70" s="62"/>
      <c r="G70" s="62"/>
      <c r="H70" s="62"/>
      <c r="I70" s="106"/>
      <c r="J70" s="107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33892604476.62</f>
        <v>33892604476.62</v>
      </c>
      <c r="D73" s="76">
        <f>24087708553.86</f>
        <v>24087708553.86</v>
      </c>
      <c r="E73" s="76">
        <f>14957979394.86</f>
        <v>14957979394.86</v>
      </c>
      <c r="F73" s="76">
        <f>824112190.83</f>
        <v>824112190.83</v>
      </c>
      <c r="G73" s="76">
        <f>1782.66</f>
        <v>1782.66</v>
      </c>
      <c r="H73" s="76">
        <f>491145.91</f>
        <v>491145.91</v>
      </c>
      <c r="I73" s="110">
        <f>0</f>
        <v>0</v>
      </c>
      <c r="J73" s="110"/>
      <c r="K73" s="60">
        <f>IF($E$73=0,"",100*$E73/$E$73)</f>
        <v>100</v>
      </c>
      <c r="L73" s="60">
        <f>IF(C73=0,"",100*E73/C73)</f>
        <v>44.133461048053725</v>
      </c>
      <c r="M73" s="11"/>
    </row>
    <row r="74" spans="2:13" ht="21.75" customHeight="1">
      <c r="B74" s="78" t="s">
        <v>78</v>
      </c>
      <c r="C74" s="79">
        <f>26526911969.33</f>
        <v>26526911969.33</v>
      </c>
      <c r="D74" s="79">
        <f>19185104617.98</f>
        <v>19185104617.98</v>
      </c>
      <c r="E74" s="79">
        <f>11300700774.99</f>
        <v>11300700774.99</v>
      </c>
      <c r="F74" s="79">
        <f>775009177.37</f>
        <v>775009177.37</v>
      </c>
      <c r="G74" s="79">
        <f>1782.66</f>
        <v>1782.66</v>
      </c>
      <c r="H74" s="79">
        <f>484500.6</f>
        <v>484500.6</v>
      </c>
      <c r="I74" s="113">
        <f>0</f>
        <v>0</v>
      </c>
      <c r="J74" s="113"/>
      <c r="K74" s="80">
        <f>IF($E$73=0,"",100*$E74/$E$73)</f>
        <v>75.54964796163078</v>
      </c>
      <c r="L74" s="80">
        <f>IF(C74=0,"",100*E74/C74)</f>
        <v>42.60089070320621</v>
      </c>
      <c r="M74" s="11"/>
    </row>
    <row r="75" spans="2:12" ht="24" customHeight="1">
      <c r="B75" s="78" t="s">
        <v>79</v>
      </c>
      <c r="C75" s="79">
        <f aca="true" t="shared" si="10" ref="C75:I75">C73-C74</f>
        <v>7365692507.289997</v>
      </c>
      <c r="D75" s="79">
        <f t="shared" si="10"/>
        <v>4902603935.880001</v>
      </c>
      <c r="E75" s="79">
        <f t="shared" si="10"/>
        <v>3657278619.870001</v>
      </c>
      <c r="F75" s="79">
        <f t="shared" si="10"/>
        <v>49103013.46000004</v>
      </c>
      <c r="G75" s="79">
        <f t="shared" si="10"/>
        <v>0</v>
      </c>
      <c r="H75" s="79">
        <f t="shared" si="10"/>
        <v>6645.309999999998</v>
      </c>
      <c r="I75" s="113">
        <f t="shared" si="10"/>
        <v>0</v>
      </c>
      <c r="J75" s="113"/>
      <c r="K75" s="80">
        <f>IF($E$73=0,"",100*$E75/$E$73)</f>
        <v>24.450352038369225</v>
      </c>
      <c r="L75" s="80">
        <f>IF(C75=0,"",100*E75/C75)</f>
        <v>49.652882145844494</v>
      </c>
    </row>
    <row r="76" spans="2:13" ht="20.25">
      <c r="B76" s="102" t="s">
        <v>113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8" ht="12.75">
      <c r="B77" s="41" t="s">
        <v>16</v>
      </c>
      <c r="C77" s="90" t="s">
        <v>17</v>
      </c>
      <c r="D77" s="89"/>
      <c r="E77" s="90" t="s">
        <v>1</v>
      </c>
      <c r="F77" s="89"/>
      <c r="G77" s="19" t="s">
        <v>26</v>
      </c>
      <c r="H77" s="19" t="s">
        <v>27</v>
      </c>
    </row>
    <row r="78" spans="2:8" ht="12.75">
      <c r="B78" s="41"/>
      <c r="C78" s="94" t="s">
        <v>81</v>
      </c>
      <c r="D78" s="95"/>
      <c r="E78" s="95"/>
      <c r="F78" s="96"/>
      <c r="G78" s="100" t="s">
        <v>4</v>
      </c>
      <c r="H78" s="101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37061381914.03</f>
        <v>37061381914.03</v>
      </c>
      <c r="D80" s="46"/>
      <c r="E80" s="45">
        <f>26265006117.82</f>
        <v>26265006117.82</v>
      </c>
      <c r="F80" s="46"/>
      <c r="G80" s="42">
        <f>IF($E$80=0,"",100*$E80/$E$80)</f>
        <v>100</v>
      </c>
      <c r="H80" s="34">
        <f>IF(C80=0,"",100*E80/C80)</f>
        <v>70.86893354043306</v>
      </c>
    </row>
    <row r="81" spans="2:8" ht="33.75">
      <c r="B81" s="37" t="s">
        <v>100</v>
      </c>
      <c r="C81" s="47">
        <f>22245237400.52</f>
        <v>22245237400.52</v>
      </c>
      <c r="D81" s="48"/>
      <c r="E81" s="47">
        <f>5182048575.32</f>
        <v>5182048575.32</v>
      </c>
      <c r="F81" s="48"/>
      <c r="G81" s="58">
        <f aca="true" t="shared" si="11" ref="G81:G87">IF($E$80=0,"",100*$E81/$E$80)</f>
        <v>19.729858626623884</v>
      </c>
      <c r="H81" s="59">
        <f aca="true" t="shared" si="12" ref="H81:H92">IF(C81=0,"",100*E81/C81)</f>
        <v>23.295092257360515</v>
      </c>
    </row>
    <row r="82" spans="2:8" ht="22.5">
      <c r="B82" s="30" t="s">
        <v>101</v>
      </c>
      <c r="C82" s="82">
        <f>1127358899.58</f>
        <v>1127358899.58</v>
      </c>
      <c r="D82" s="83"/>
      <c r="E82" s="82">
        <f>101260000</f>
        <v>101260000</v>
      </c>
      <c r="F82" s="83"/>
      <c r="G82" s="84">
        <f t="shared" si="11"/>
        <v>0.3855319871077365</v>
      </c>
      <c r="H82" s="80">
        <f t="shared" si="12"/>
        <v>8.982055318650044</v>
      </c>
    </row>
    <row r="83" spans="2:8" ht="12.75">
      <c r="B83" s="85" t="s">
        <v>102</v>
      </c>
      <c r="C83" s="82">
        <f>314148921.25</f>
        <v>314148921.25</v>
      </c>
      <c r="D83" s="83"/>
      <c r="E83" s="82">
        <f>111285556.85</f>
        <v>111285556.85</v>
      </c>
      <c r="F83" s="83"/>
      <c r="G83" s="84">
        <f t="shared" si="11"/>
        <v>0.42370276386304045</v>
      </c>
      <c r="H83" s="80">
        <f t="shared" si="12"/>
        <v>35.42445933196086</v>
      </c>
    </row>
    <row r="84" spans="2:8" ht="12.75">
      <c r="B84" s="85" t="s">
        <v>103</v>
      </c>
      <c r="C84" s="82">
        <f>1822964220</f>
        <v>1822964220</v>
      </c>
      <c r="D84" s="83"/>
      <c r="E84" s="82">
        <f>2898232194.52</f>
        <v>2898232194.52</v>
      </c>
      <c r="F84" s="83"/>
      <c r="G84" s="84">
        <f t="shared" si="11"/>
        <v>11.034576506546626</v>
      </c>
      <c r="H84" s="80">
        <f t="shared" si="12"/>
        <v>158.9845901923407</v>
      </c>
    </row>
    <row r="85" spans="2:8" ht="12.75">
      <c r="B85" s="85" t="s">
        <v>104</v>
      </c>
      <c r="C85" s="82">
        <f>0</f>
        <v>0</v>
      </c>
      <c r="D85" s="83"/>
      <c r="E85" s="82">
        <f>7685.04</f>
        <v>7685.04</v>
      </c>
      <c r="F85" s="83"/>
      <c r="G85" s="84">
        <f t="shared" si="11"/>
        <v>2.9259616257183876E-05</v>
      </c>
      <c r="H85" s="80">
        <f t="shared" si="12"/>
      </c>
    </row>
    <row r="86" spans="2:8" ht="33.75">
      <c r="B86" s="85" t="s">
        <v>105</v>
      </c>
      <c r="C86" s="82">
        <f>10515398407.71</f>
        <v>10515398407.71</v>
      </c>
      <c r="D86" s="83"/>
      <c r="E86" s="82">
        <f>15775779307.6</f>
        <v>15775779307.6</v>
      </c>
      <c r="F86" s="83"/>
      <c r="G86" s="84">
        <f t="shared" si="11"/>
        <v>60.063870675806236</v>
      </c>
      <c r="H86" s="80">
        <f t="shared" si="12"/>
        <v>150.02550256234738</v>
      </c>
    </row>
    <row r="87" spans="2:8" ht="12.75">
      <c r="B87" s="85" t="s">
        <v>83</v>
      </c>
      <c r="C87" s="82">
        <f>356361493.77</f>
        <v>356361493.77</v>
      </c>
      <c r="D87" s="83"/>
      <c r="E87" s="82">
        <f>253864162.23</f>
        <v>253864162.23</v>
      </c>
      <c r="F87" s="83"/>
      <c r="G87" s="84">
        <f t="shared" si="11"/>
        <v>0.966549031404036</v>
      </c>
      <c r="H87" s="80">
        <f t="shared" si="12"/>
        <v>71.23782077135613</v>
      </c>
    </row>
    <row r="88" spans="2:8" ht="25.5">
      <c r="B88" s="38" t="s">
        <v>68</v>
      </c>
      <c r="C88" s="55">
        <f>10853767910.83</f>
        <v>10853767910.83</v>
      </c>
      <c r="D88" s="56"/>
      <c r="E88" s="55">
        <f>6747933038.48</f>
        <v>6747933038.48</v>
      </c>
      <c r="F88" s="56"/>
      <c r="G88" s="42">
        <f>IF($E$88=0,"",100*$E88/$E$88)</f>
        <v>100</v>
      </c>
      <c r="H88" s="34">
        <f t="shared" si="12"/>
        <v>62.17134080918428</v>
      </c>
    </row>
    <row r="89" spans="2:8" ht="33.75">
      <c r="B89" s="37" t="s">
        <v>106</v>
      </c>
      <c r="C89" s="47">
        <f>9563296902.84</f>
        <v>9563296902.84</v>
      </c>
      <c r="D89" s="53"/>
      <c r="E89" s="54">
        <f>5639600322.88</f>
        <v>5639600322.88</v>
      </c>
      <c r="F89" s="53"/>
      <c r="G89" s="58">
        <f>IF($E$88=0,"",100*$E89/$E$88)</f>
        <v>83.57522652818653</v>
      </c>
      <c r="H89" s="59">
        <f t="shared" si="12"/>
        <v>58.97129808032223</v>
      </c>
    </row>
    <row r="90" spans="2:8" ht="22.5">
      <c r="B90" s="30" t="s">
        <v>107</v>
      </c>
      <c r="C90" s="82">
        <f>602367734.05</f>
        <v>602367734.05</v>
      </c>
      <c r="D90" s="83"/>
      <c r="E90" s="82">
        <f>85669857.01</f>
        <v>85669857.01</v>
      </c>
      <c r="F90" s="83"/>
      <c r="G90" s="84">
        <f>IF($E$88=0,"",100*$E90/$E$88)</f>
        <v>1.2695718306845782</v>
      </c>
      <c r="H90" s="80">
        <f t="shared" si="12"/>
        <v>14.222185579895108</v>
      </c>
    </row>
    <row r="91" spans="2:8" ht="12.75">
      <c r="B91" s="85" t="s">
        <v>108</v>
      </c>
      <c r="C91" s="82">
        <f>291017550.49</f>
        <v>291017550.49</v>
      </c>
      <c r="D91" s="83"/>
      <c r="E91" s="82">
        <f>179277967.56</f>
        <v>179277967.56</v>
      </c>
      <c r="F91" s="83"/>
      <c r="G91" s="84">
        <f>IF($E$88=0,"",100*$E91/$E$88)</f>
        <v>2.6567834407613375</v>
      </c>
      <c r="H91" s="80">
        <f t="shared" si="12"/>
        <v>61.603833603210944</v>
      </c>
    </row>
    <row r="92" spans="2:8" ht="12.75">
      <c r="B92" s="36" t="s">
        <v>33</v>
      </c>
      <c r="C92" s="47">
        <f>999453457.5</f>
        <v>999453457.5</v>
      </c>
      <c r="D92" s="50"/>
      <c r="E92" s="47">
        <f>929054748.04</f>
        <v>929054748.04</v>
      </c>
      <c r="F92" s="50"/>
      <c r="G92" s="58">
        <f>IF($E$88=0,"",100*$E92/$E$88)</f>
        <v>13.767990031052138</v>
      </c>
      <c r="H92" s="59">
        <f t="shared" si="12"/>
        <v>92.95627936131282</v>
      </c>
    </row>
    <row r="94" spans="2:8" ht="12.75">
      <c r="B94" s="41" t="s">
        <v>16</v>
      </c>
      <c r="C94" s="90" t="s">
        <v>17</v>
      </c>
      <c r="D94" s="89"/>
      <c r="E94" s="90" t="s">
        <v>1</v>
      </c>
      <c r="F94" s="89"/>
      <c r="G94" s="19" t="s">
        <v>26</v>
      </c>
      <c r="H94" s="19" t="s">
        <v>27</v>
      </c>
    </row>
    <row r="95" spans="2:8" ht="12.75">
      <c r="B95" s="41"/>
      <c r="C95" s="94" t="s">
        <v>81</v>
      </c>
      <c r="D95" s="95"/>
      <c r="E95" s="95"/>
      <c r="F95" s="96"/>
      <c r="G95" s="100" t="s">
        <v>4</v>
      </c>
      <c r="H95" s="101"/>
    </row>
    <row r="96" spans="2:8" ht="12.75">
      <c r="B96" s="39">
        <v>1</v>
      </c>
      <c r="C96" s="43">
        <v>2</v>
      </c>
      <c r="D96" s="44"/>
      <c r="E96" s="43">
        <v>3</v>
      </c>
      <c r="F96" s="44"/>
      <c r="G96" s="40">
        <v>4</v>
      </c>
      <c r="H96" s="40">
        <v>5</v>
      </c>
    </row>
    <row r="97" spans="2:8" ht="22.5">
      <c r="B97" s="57" t="s">
        <v>84</v>
      </c>
      <c r="C97" s="52">
        <f>26497932462.12</f>
        <v>26497932462.12</v>
      </c>
      <c r="D97" s="49"/>
      <c r="E97" s="52">
        <f>0</f>
        <v>0</v>
      </c>
      <c r="F97" s="46"/>
      <c r="G97" s="42"/>
      <c r="H97" s="34"/>
    </row>
    <row r="98" spans="2:8" ht="56.25">
      <c r="B98" s="51" t="s">
        <v>85</v>
      </c>
      <c r="C98" s="54">
        <f>1021438538.27</f>
        <v>1021438538.27</v>
      </c>
      <c r="D98" s="53"/>
      <c r="E98" s="54">
        <f>0</f>
        <v>0</v>
      </c>
      <c r="F98" s="53"/>
      <c r="G98" s="58"/>
      <c r="H98" s="59"/>
    </row>
    <row r="99" spans="2:8" ht="12.75">
      <c r="B99" s="51" t="s">
        <v>86</v>
      </c>
      <c r="C99" s="54">
        <f>14945704263.69</f>
        <v>14945704263.69</v>
      </c>
      <c r="D99" s="53"/>
      <c r="E99" s="54">
        <f>0</f>
        <v>0</v>
      </c>
      <c r="F99" s="53"/>
      <c r="G99" s="58"/>
      <c r="H99" s="59"/>
    </row>
    <row r="100" spans="2:8" ht="33.75">
      <c r="B100" s="51" t="s">
        <v>87</v>
      </c>
      <c r="C100" s="54">
        <f>0</f>
        <v>0</v>
      </c>
      <c r="D100" s="53"/>
      <c r="E100" s="54">
        <f>0</f>
        <v>0</v>
      </c>
      <c r="F100" s="53"/>
      <c r="G100" s="58"/>
      <c r="H100" s="59"/>
    </row>
    <row r="101" spans="2:8" ht="33.75">
      <c r="B101" s="51" t="s">
        <v>88</v>
      </c>
      <c r="C101" s="54">
        <f>1177960873.71</f>
        <v>1177960873.71</v>
      </c>
      <c r="D101" s="53"/>
      <c r="E101" s="54">
        <f>0</f>
        <v>0</v>
      </c>
      <c r="F101" s="53"/>
      <c r="G101" s="58"/>
      <c r="H101" s="59"/>
    </row>
    <row r="102" spans="2:8" ht="101.25">
      <c r="B102" s="51" t="s">
        <v>89</v>
      </c>
      <c r="C102" s="54">
        <f>7729515422.19</f>
        <v>7729515422.19</v>
      </c>
      <c r="D102" s="53"/>
      <c r="E102" s="54">
        <f>0</f>
        <v>0</v>
      </c>
      <c r="F102" s="53"/>
      <c r="G102" s="58"/>
      <c r="H102" s="59"/>
    </row>
    <row r="104" spans="2:6" ht="12.75">
      <c r="B104" s="41" t="s">
        <v>16</v>
      </c>
      <c r="C104" s="90" t="s">
        <v>111</v>
      </c>
      <c r="D104" s="88"/>
      <c r="E104" s="88"/>
      <c r="F104" s="89"/>
    </row>
    <row r="105" spans="2:6" ht="12.75">
      <c r="B105" s="41"/>
      <c r="C105" s="94" t="s">
        <v>81</v>
      </c>
      <c r="D105" s="95"/>
      <c r="E105" s="95"/>
      <c r="F105" s="96"/>
    </row>
    <row r="106" spans="2:6" ht="12.75">
      <c r="B106" s="39">
        <v>1</v>
      </c>
      <c r="C106" s="91">
        <v>2</v>
      </c>
      <c r="D106" s="92"/>
      <c r="E106" s="92"/>
      <c r="F106" s="93"/>
    </row>
    <row r="107" spans="2:6" ht="56.25">
      <c r="B107" s="57" t="s">
        <v>90</v>
      </c>
      <c r="C107" s="87">
        <f>0</f>
        <v>0</v>
      </c>
      <c r="D107" s="88"/>
      <c r="E107" s="88"/>
      <c r="F107" s="89"/>
    </row>
    <row r="108" spans="2:6" ht="45">
      <c r="B108" s="86" t="s">
        <v>91</v>
      </c>
      <c r="C108" s="87">
        <f>0</f>
        <v>0</v>
      </c>
      <c r="D108" s="88"/>
      <c r="E108" s="88"/>
      <c r="F108" s="89"/>
    </row>
    <row r="109" spans="2:6" ht="45">
      <c r="B109" s="86" t="s">
        <v>92</v>
      </c>
      <c r="C109" s="87">
        <f>0</f>
        <v>0</v>
      </c>
      <c r="D109" s="88"/>
      <c r="E109" s="88"/>
      <c r="F109" s="89"/>
    </row>
    <row r="110" spans="2:6" ht="78.75">
      <c r="B110" s="86" t="s">
        <v>93</v>
      </c>
      <c r="C110" s="87">
        <f>0</f>
        <v>0</v>
      </c>
      <c r="D110" s="88"/>
      <c r="E110" s="88"/>
      <c r="F110" s="89"/>
    </row>
    <row r="111" spans="2:6" ht="56.25">
      <c r="B111" s="86" t="s">
        <v>94</v>
      </c>
      <c r="C111" s="87">
        <f>0</f>
        <v>0</v>
      </c>
      <c r="D111" s="88"/>
      <c r="E111" s="88"/>
      <c r="F111" s="89"/>
    </row>
    <row r="112" spans="2:6" ht="56.25">
      <c r="B112" s="86" t="s">
        <v>95</v>
      </c>
      <c r="C112" s="87">
        <f>0</f>
        <v>0</v>
      </c>
      <c r="D112" s="88"/>
      <c r="E112" s="88"/>
      <c r="F112" s="89"/>
    </row>
    <row r="113" spans="2:6" ht="56.25">
      <c r="B113" s="86" t="s">
        <v>96</v>
      </c>
      <c r="C113" s="87">
        <f>0</f>
        <v>0</v>
      </c>
      <c r="D113" s="88"/>
      <c r="E113" s="88"/>
      <c r="F113" s="89"/>
    </row>
    <row r="114" spans="2:6" ht="112.5">
      <c r="B114" s="86" t="s">
        <v>109</v>
      </c>
      <c r="C114" s="87">
        <f>0</f>
        <v>0</v>
      </c>
      <c r="D114" s="88"/>
      <c r="E114" s="88"/>
      <c r="F114" s="89"/>
    </row>
    <row r="115" spans="2:6" ht="112.5">
      <c r="B115" s="86" t="s">
        <v>110</v>
      </c>
      <c r="C115" s="87">
        <f>0</f>
        <v>0</v>
      </c>
      <c r="D115" s="88"/>
      <c r="E115" s="88"/>
      <c r="F115" s="89"/>
    </row>
  </sheetData>
  <sheetProtection/>
  <mergeCells count="54">
    <mergeCell ref="I58:J58"/>
    <mergeCell ref="I75:J75"/>
    <mergeCell ref="I67:J67"/>
    <mergeCell ref="I65:J65"/>
    <mergeCell ref="I66:J66"/>
    <mergeCell ref="I68:J68"/>
    <mergeCell ref="I69:J69"/>
    <mergeCell ref="I73:J73"/>
    <mergeCell ref="I74:J74"/>
    <mergeCell ref="I63:J63"/>
    <mergeCell ref="I64:J64"/>
    <mergeCell ref="I59:J59"/>
    <mergeCell ref="I60:J60"/>
    <mergeCell ref="I61:J61"/>
    <mergeCell ref="I62:J62"/>
    <mergeCell ref="B1:M1"/>
    <mergeCell ref="B3:B4"/>
    <mergeCell ref="K4:M4"/>
    <mergeCell ref="C4:J4"/>
    <mergeCell ref="B52:M52"/>
    <mergeCell ref="B76:M76"/>
    <mergeCell ref="I54:J56"/>
    <mergeCell ref="D54:D56"/>
    <mergeCell ref="E54:E56"/>
    <mergeCell ref="F55:F56"/>
    <mergeCell ref="F54:H54"/>
    <mergeCell ref="G55:H55"/>
    <mergeCell ref="L54:L56"/>
    <mergeCell ref="I70:J70"/>
    <mergeCell ref="C57:J57"/>
    <mergeCell ref="C54:C56"/>
    <mergeCell ref="B54:B57"/>
    <mergeCell ref="K54:K56"/>
    <mergeCell ref="K57:L57"/>
    <mergeCell ref="G78:H78"/>
    <mergeCell ref="C105:F105"/>
    <mergeCell ref="C94:D94"/>
    <mergeCell ref="E94:F94"/>
    <mergeCell ref="C95:F95"/>
    <mergeCell ref="G95:H95"/>
    <mergeCell ref="C104:F104"/>
    <mergeCell ref="C106:F106"/>
    <mergeCell ref="C107:F107"/>
    <mergeCell ref="C77:D77"/>
    <mergeCell ref="E77:F77"/>
    <mergeCell ref="C78:F78"/>
    <mergeCell ref="C112:F112"/>
    <mergeCell ref="C113:F113"/>
    <mergeCell ref="C114:F114"/>
    <mergeCell ref="C115:F115"/>
    <mergeCell ref="C111:F111"/>
    <mergeCell ref="C108:F108"/>
    <mergeCell ref="C109:F109"/>
    <mergeCell ref="C110:F110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4" manualBreakCount="4">
    <brk id="21" max="255" man="1"/>
    <brk id="51" max="255" man="1"/>
    <brk id="75" max="12" man="1"/>
    <brk id="10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2020-11-27T08:25:07Z</dcterms:modified>
  <cp:category/>
  <cp:version/>
  <cp:contentType/>
  <cp:contentStatus/>
</cp:coreProperties>
</file>