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<sst xmlns="http://schemas.openxmlformats.org/spreadsheetml/2006/main" count="261" uniqueCount="114">
  <si>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</si>
  <si>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</si>
  <si>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</si>
  <si>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</si>
  <si>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</si>
  <si>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</si>
  <si>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</si>
  <si>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</si>
  <si>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</si>
  <si>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</si>
  <si>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</si>
  <si>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</si>
  <si>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</si>
  <si>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</si>
  <si>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</si>
  <si>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</si>
  <si>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</si>
  <si>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</si>
  <si>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</si>
  <si>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</si>
  <si>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</si>
  <si>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</si>
  <si>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</si>
  <si>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</si>
  <si>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</si>
  <si>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</si>
  <si>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</si>
  <si>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</si>
  <si>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</si>
  <si>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</si>
  <si>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</si>
  <si>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</si>
  <si>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</si>
  <si>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</si>
  <si>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</si>
  <si>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</si>
  <si>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</si>
  <si>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</si>
  <si>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</si>
  <si>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</si>
  <si>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</si>
  <si>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</si>
  <si>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</si>
  <si>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</si>
  <si>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</si>
  <si>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</si>
  <si>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</si>
  <si>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</si>
  <si>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</si>
  <si>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</si>
  <si>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</si>
  <si>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</si>
  <si>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</si>
  <si>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</si>
  <si>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</si>
  <si>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</si>
  <si>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</si>
  <si>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</si>
  <si>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</si>
  <si>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</si>
  <si>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</si>
  <si>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</si>
  <si>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</si>
  <si>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</si>
  <si>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</si>
  <si>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</si>
  <si>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</si>
  <si>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</si>
  <si>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</si>
  <si>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</si>
  <si>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</si>
  <si>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</si>
  <si>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</si>
  <si>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</si>
  <si>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</si>
  <si>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</si>
  <si>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</si>
  <si>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</si>
  <si>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</si>
  <si>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</si>
  <si>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</si>
  <si>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</si>
  <si>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</si>
  <si>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</si>
  <si>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</si>
  <si>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</si>
  <si>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</si>
  <si>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</si>
  <si>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</si>
  <si>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</si>
  <si>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</si>
  <si>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</si>
  <si>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</si>
  <si>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</si>
  <si>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</si>
  <si>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</si>
  <si>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</si>
  <si>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</si>
  <si>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</si>
  <si>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</si>
  <si>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</si>
  <si>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</si>
  <si>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</si>
  <si>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</si>
  <si>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</si>
  <si>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</si>
  <si>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</si>
  <si>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</si>
  <si>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</si>
  <si>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</si>
  <si>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</si>
  <si>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</si>
  <si>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</si>
  <si>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IV Kwartały 2019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</si>
</sst>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281292138355.76</f>
        <v>281292138355.76</v>
      </c>
      <c r="D6" s="69">
        <f>278507113590.26</f>
        <v>278507113590.26</v>
      </c>
      <c r="E6" s="69">
        <f>278507428727.18</f>
        <v>278507428727.18</v>
      </c>
      <c r="F6" s="69">
        <f>3445782741.1</f>
        <v>3445782741.1</v>
      </c>
      <c r="G6" s="69">
        <f>751033381.47</f>
        <v>751033381.47</v>
      </c>
      <c r="H6" s="69">
        <f>90792498.18</f>
        <v>90792498.18</v>
      </c>
      <c r="I6" s="69">
        <f>133596194.79</f>
        <v>133596194.79</v>
      </c>
      <c r="J6" s="69">
        <f>11047378.7</f>
        <v>11047378.7</v>
      </c>
      <c r="K6" s="70">
        <f aca="true" t="shared" si="0" ref="K6:K46">IF($D$6=0,"",100*$D6/$D$6)</f>
        <v>100</v>
      </c>
      <c r="L6" s="70">
        <f aca="true" t="shared" si="1" ref="L6:L50">IF(C6=0,"",100*D6/C6)</f>
        <v>99.00991731166773</v>
      </c>
      <c r="M6" s="70"/>
    </row>
    <row r="7" spans="2:13" ht="38.25" customHeight="1">
      <c r="B7" s="20" t="s">
        <v>62</v>
      </c>
      <c r="C7" s="25">
        <f>C6-C22-C40</f>
        <v>134175050107.21002</v>
      </c>
      <c r="D7" s="25">
        <f>D6-D22-D40</f>
        <v>135768587710.48001</v>
      </c>
      <c r="E7" s="25">
        <f>E6-E22-E40</f>
        <v>135618471106.27</v>
      </c>
      <c r="F7" s="25">
        <f>F6</f>
        <v>3445782741.1</v>
      </c>
      <c r="G7" s="25">
        <f>G6</f>
        <v>751033381.47</v>
      </c>
      <c r="H7" s="25">
        <f>H6</f>
        <v>90792498.18</v>
      </c>
      <c r="I7" s="25">
        <f>I6</f>
        <v>133596194.79</v>
      </c>
      <c r="J7" s="25">
        <f>J6</f>
        <v>11047378.7</v>
      </c>
      <c r="K7" s="31">
        <f t="shared" si="0"/>
        <v>48.748696562998</v>
      </c>
      <c r="L7" s="31">
        <f t="shared" si="1"/>
        <v>101.18765567964887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10295610163.19</f>
        <v>10295610163.19</v>
      </c>
      <c r="D8" s="23">
        <f>10901635388.86</f>
        <v>10901635388.86</v>
      </c>
      <c r="E8" s="23">
        <f>10915168399.32</f>
        <v>10915168399.32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3.9143112893333485</v>
      </c>
      <c r="L8" s="32">
        <f t="shared" si="1"/>
        <v>105.88624876101785</v>
      </c>
      <c r="M8" s="32">
        <f t="shared" si="2"/>
        <v>8.029571178943995</v>
      </c>
    </row>
    <row r="9" spans="2:13" ht="32.25" customHeight="1">
      <c r="B9" s="21" t="s">
        <v>19</v>
      </c>
      <c r="C9" s="23">
        <f>55604388624.52</f>
        <v>55604388624.52</v>
      </c>
      <c r="D9" s="23">
        <f>56140278244</f>
        <v>56140278244</v>
      </c>
      <c r="E9" s="23">
        <f>55921983296.34</f>
        <v>55921983296.34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20.157574260955375</v>
      </c>
      <c r="L9" s="32">
        <f t="shared" si="1"/>
        <v>100.96375417972618</v>
      </c>
      <c r="M9" s="32">
        <f t="shared" si="2"/>
        <v>41.34997586018678</v>
      </c>
    </row>
    <row r="10" spans="2:13" ht="32.25" customHeight="1">
      <c r="B10" s="21" t="s">
        <v>20</v>
      </c>
      <c r="C10" s="23">
        <f>1557902917.72</f>
        <v>1557902917.72</v>
      </c>
      <c r="D10" s="23">
        <f>1536598340.76</f>
        <v>1536598340.76</v>
      </c>
      <c r="E10" s="23">
        <f>1544473956.08</f>
        <v>1544473956.08</v>
      </c>
      <c r="F10" s="23">
        <f>130901774.28</f>
        <v>130901774.28</v>
      </c>
      <c r="G10" s="23">
        <f>1837470.5</f>
        <v>1837470.5</v>
      </c>
      <c r="H10" s="23">
        <f>7531770.39</f>
        <v>7531770.39</v>
      </c>
      <c r="I10" s="23">
        <f>2060264.98</f>
        <v>2060264.98</v>
      </c>
      <c r="J10" s="24">
        <f>7105.49</f>
        <v>7105.49</v>
      </c>
      <c r="K10" s="32">
        <f t="shared" si="0"/>
        <v>0.5517267839056511</v>
      </c>
      <c r="L10" s="32">
        <f t="shared" si="1"/>
        <v>98.63248366007431</v>
      </c>
      <c r="M10" s="32">
        <f t="shared" si="2"/>
        <v>1.1317775095640843</v>
      </c>
    </row>
    <row r="11" spans="2:13" ht="32.25" customHeight="1">
      <c r="B11" s="21" t="s">
        <v>21</v>
      </c>
      <c r="C11" s="23">
        <f>23198664474.73</f>
        <v>23198664474.73</v>
      </c>
      <c r="D11" s="23">
        <f>23299278069.78</f>
        <v>23299278069.78</v>
      </c>
      <c r="E11" s="23">
        <f>23298876279.91</f>
        <v>23298876279.91</v>
      </c>
      <c r="F11" s="23">
        <f>2323966717.93</f>
        <v>2323966717.93</v>
      </c>
      <c r="G11" s="23">
        <f>740167699.28</f>
        <v>740167699.28</v>
      </c>
      <c r="H11" s="23">
        <f>65431856.4</f>
        <v>65431856.4</v>
      </c>
      <c r="I11" s="23">
        <f>100310762.32</f>
        <v>100310762.32</v>
      </c>
      <c r="J11" s="24">
        <f>10242092.81</f>
        <v>10242092.81</v>
      </c>
      <c r="K11" s="32">
        <f t="shared" si="0"/>
        <v>8.36577485200537</v>
      </c>
      <c r="L11" s="32">
        <f t="shared" si="1"/>
        <v>100.43370425551694</v>
      </c>
      <c r="M11" s="32">
        <f t="shared" si="2"/>
        <v>17.161022636152474</v>
      </c>
    </row>
    <row r="12" spans="2:13" ht="32.25" customHeight="1">
      <c r="B12" s="21" t="s">
        <v>22</v>
      </c>
      <c r="C12" s="23">
        <f>298928339.7</f>
        <v>298928339.7</v>
      </c>
      <c r="D12" s="23">
        <f>298027178.85</f>
        <v>298027178.85</v>
      </c>
      <c r="E12" s="23">
        <f>297997591.96</f>
        <v>297997591.96</v>
      </c>
      <c r="F12" s="23">
        <f>1704999.53</f>
        <v>1704999.53</v>
      </c>
      <c r="G12" s="23">
        <f>634281.57</f>
        <v>634281.57</v>
      </c>
      <c r="H12" s="23">
        <f>176348.99</f>
        <v>176348.99</v>
      </c>
      <c r="I12" s="23">
        <f>14326.9</f>
        <v>14326.9</v>
      </c>
      <c r="J12" s="24">
        <f>191.55</f>
        <v>191.55</v>
      </c>
      <c r="K12" s="32">
        <f t="shared" si="0"/>
        <v>0.10700882107035081</v>
      </c>
      <c r="L12" s="32">
        <f t="shared" si="1"/>
        <v>99.69853616057135</v>
      </c>
      <c r="M12" s="32">
        <f t="shared" si="2"/>
        <v>0.21951114309705325</v>
      </c>
    </row>
    <row r="13" spans="2:13" ht="32.25" customHeight="1">
      <c r="B13" s="21" t="s">
        <v>23</v>
      </c>
      <c r="C13" s="23">
        <f>1173687766.44</f>
        <v>1173687766.44</v>
      </c>
      <c r="D13" s="23">
        <f>1169811598.98</f>
        <v>1169811598.98</v>
      </c>
      <c r="E13" s="23">
        <f>1169697907.69</f>
        <v>1169697907.69</v>
      </c>
      <c r="F13" s="23">
        <f>974837377.05</f>
        <v>974837377.05</v>
      </c>
      <c r="G13" s="23">
        <f>2290069.88</f>
        <v>2290069.88</v>
      </c>
      <c r="H13" s="23">
        <f>2709880.09</f>
        <v>2709880.09</v>
      </c>
      <c r="I13" s="23">
        <f>4193567.56</f>
        <v>4193567.56</v>
      </c>
      <c r="J13" s="24">
        <f>82659.09</f>
        <v>82659.09</v>
      </c>
      <c r="K13" s="32">
        <f t="shared" si="0"/>
        <v>0.42002934284150034</v>
      </c>
      <c r="L13" s="32">
        <f t="shared" si="1"/>
        <v>99.66974458021684</v>
      </c>
      <c r="M13" s="32">
        <f t="shared" si="2"/>
        <v>0.8616216893075201</v>
      </c>
    </row>
    <row r="14" spans="2:13" ht="43.5" customHeight="1">
      <c r="B14" s="21" t="s">
        <v>46</v>
      </c>
      <c r="C14" s="23">
        <f>69092922.89</f>
        <v>69092922.89</v>
      </c>
      <c r="D14" s="23">
        <f>66452488.2</f>
        <v>66452488.2</v>
      </c>
      <c r="E14" s="23">
        <f>66003256.53</f>
        <v>66003256.53</v>
      </c>
      <c r="F14" s="23">
        <f>0</f>
        <v>0</v>
      </c>
      <c r="G14" s="23">
        <f>0</f>
        <v>0</v>
      </c>
      <c r="H14" s="23">
        <f>141038.72</f>
        <v>141038.72</v>
      </c>
      <c r="I14" s="23">
        <f>379763.96</f>
        <v>379763.96</v>
      </c>
      <c r="J14" s="24">
        <f>0</f>
        <v>0</v>
      </c>
      <c r="K14" s="32">
        <f t="shared" si="0"/>
        <v>0.023860248071711727</v>
      </c>
      <c r="L14" s="32">
        <f t="shared" si="1"/>
        <v>96.17842959950656</v>
      </c>
      <c r="M14" s="32">
        <f t="shared" si="2"/>
        <v>0.048945407270278705</v>
      </c>
    </row>
    <row r="15" spans="2:13" ht="32.25" customHeight="1">
      <c r="B15" s="21" t="s">
        <v>28</v>
      </c>
      <c r="C15" s="23">
        <f>297532071.21</f>
        <v>297532071.21</v>
      </c>
      <c r="D15" s="23">
        <f>326509299.5</f>
        <v>326509299.5</v>
      </c>
      <c r="E15" s="23">
        <f>326277103.18</f>
        <v>326277103.18</v>
      </c>
      <c r="F15" s="23">
        <f>0</f>
        <v>0</v>
      </c>
      <c r="G15" s="23">
        <f>1200</f>
        <v>1200</v>
      </c>
      <c r="H15" s="23">
        <f>4930676.71</f>
        <v>4930676.71</v>
      </c>
      <c r="I15" s="23">
        <f>9961602.31</f>
        <v>9961602.31</v>
      </c>
      <c r="J15" s="24">
        <f>0</f>
        <v>0</v>
      </c>
      <c r="K15" s="32">
        <f t="shared" si="0"/>
        <v>0.11723553315782119</v>
      </c>
      <c r="L15" s="32">
        <f t="shared" si="1"/>
        <v>109.73919489490856</v>
      </c>
      <c r="M15" s="32">
        <f t="shared" si="2"/>
        <v>0.24048957494959394</v>
      </c>
    </row>
    <row r="16" spans="2:13" ht="32.25" customHeight="1">
      <c r="B16" s="21" t="s">
        <v>29</v>
      </c>
      <c r="C16" s="23">
        <f>2551829546.31</f>
        <v>2551829546.31</v>
      </c>
      <c r="D16" s="23">
        <f>2926616256</f>
        <v>2926616256</v>
      </c>
      <c r="E16" s="23">
        <f>2935445676.21</f>
        <v>2935445676.21</v>
      </c>
      <c r="F16" s="23">
        <f>0</f>
        <v>0</v>
      </c>
      <c r="G16" s="23">
        <f>0</f>
        <v>0</v>
      </c>
      <c r="H16" s="23">
        <f>139408.66</f>
        <v>139408.66</v>
      </c>
      <c r="I16" s="23">
        <f>759637.99</f>
        <v>759637.99</v>
      </c>
      <c r="J16" s="24">
        <f>1</f>
        <v>1</v>
      </c>
      <c r="K16" s="32">
        <f t="shared" si="0"/>
        <v>1.0508228024314097</v>
      </c>
      <c r="L16" s="32">
        <f t="shared" si="1"/>
        <v>114.68698057172156</v>
      </c>
      <c r="M16" s="32">
        <f t="shared" si="2"/>
        <v>2.1555915881226286</v>
      </c>
    </row>
    <row r="17" spans="2:13" ht="32.25" customHeight="1">
      <c r="B17" s="21" t="s">
        <v>30</v>
      </c>
      <c r="C17" s="23">
        <f>481869055.69</f>
        <v>481869055.69</v>
      </c>
      <c r="D17" s="23">
        <f>502424966.16</f>
        <v>502424966.16</v>
      </c>
      <c r="E17" s="23">
        <f>502373365.85</f>
        <v>502373365.85</v>
      </c>
      <c r="F17" s="23">
        <f>0</f>
        <v>0</v>
      </c>
      <c r="G17" s="23">
        <f>0</f>
        <v>0</v>
      </c>
      <c r="H17" s="23">
        <f>16402</f>
        <v>16402</v>
      </c>
      <c r="I17" s="23">
        <f>6219</f>
        <v>6219</v>
      </c>
      <c r="J17" s="24">
        <f>0</f>
        <v>0</v>
      </c>
      <c r="K17" s="32">
        <f t="shared" si="0"/>
        <v>0.1803993297274152</v>
      </c>
      <c r="L17" s="32">
        <f t="shared" si="1"/>
        <v>104.26587061926304</v>
      </c>
      <c r="M17" s="32">
        <f t="shared" si="2"/>
        <v>0.3700598014847124</v>
      </c>
    </row>
    <row r="18" spans="2:13" ht="32.25" customHeight="1">
      <c r="B18" s="21" t="s">
        <v>31</v>
      </c>
      <c r="C18" s="23">
        <f>437147412.85</f>
        <v>437147412.85</v>
      </c>
      <c r="D18" s="23">
        <f>433479599.12</f>
        <v>433479599.12</v>
      </c>
      <c r="E18" s="23">
        <f>433530245.42</f>
        <v>433530245.42</v>
      </c>
      <c r="F18" s="23">
        <f>0</f>
        <v>0</v>
      </c>
      <c r="G18" s="23">
        <f>0</f>
        <v>0</v>
      </c>
      <c r="H18" s="23">
        <f>34949.8</f>
        <v>34949.8</v>
      </c>
      <c r="I18" s="23">
        <f>108333.59</f>
        <v>108333.59</v>
      </c>
      <c r="J18" s="24">
        <f>0</f>
        <v>0</v>
      </c>
      <c r="K18" s="32">
        <f t="shared" si="0"/>
        <v>0.1556439954197133</v>
      </c>
      <c r="L18" s="32">
        <f t="shared" si="1"/>
        <v>99.16096638749671</v>
      </c>
      <c r="M18" s="32">
        <f t="shared" si="2"/>
        <v>0.31927827079145465</v>
      </c>
    </row>
    <row r="19" spans="2:13" ht="32.25" customHeight="1">
      <c r="B19" s="21" t="s">
        <v>32</v>
      </c>
      <c r="C19" s="23">
        <f>143128002.96</f>
        <v>143128002.96</v>
      </c>
      <c r="D19" s="23">
        <f>139337182.31</f>
        <v>139337182.31</v>
      </c>
      <c r="E19" s="23">
        <f>139143604.81</f>
        <v>139143604.81</v>
      </c>
      <c r="F19" s="23">
        <f>3471929.12</f>
        <v>3471929.12</v>
      </c>
      <c r="G19" s="23">
        <f>63115.6</f>
        <v>63115.6</v>
      </c>
      <c r="H19" s="23">
        <f>36859.3</f>
        <v>36859.3</v>
      </c>
      <c r="I19" s="23">
        <f>19986</f>
        <v>19986</v>
      </c>
      <c r="J19" s="24">
        <f>0</f>
        <v>0</v>
      </c>
      <c r="K19" s="32">
        <f t="shared" si="0"/>
        <v>0.050030026347906154</v>
      </c>
      <c r="L19" s="32">
        <f t="shared" si="1"/>
        <v>97.35144725588086</v>
      </c>
      <c r="M19" s="32">
        <f t="shared" si="2"/>
        <v>0.10262843906657543</v>
      </c>
    </row>
    <row r="20" spans="2:13" ht="32.25" customHeight="1">
      <c r="B20" s="21" t="s">
        <v>24</v>
      </c>
      <c r="C20" s="23">
        <f>8074130221.38</f>
        <v>8074130221.38</v>
      </c>
      <c r="D20" s="23">
        <f>7492896843.13</f>
        <v>7492896843.13</v>
      </c>
      <c r="E20" s="23">
        <f>7492907032.72</f>
        <v>7492907032.72</v>
      </c>
      <c r="F20" s="23">
        <f>0</f>
        <v>0</v>
      </c>
      <c r="G20" s="23">
        <f>4344.15</f>
        <v>4344.15</v>
      </c>
      <c r="H20" s="23">
        <f>0</f>
        <v>0</v>
      </c>
      <c r="I20" s="23">
        <f>0</f>
        <v>0</v>
      </c>
      <c r="J20" s="24">
        <f>12115.98</f>
        <v>12115.98</v>
      </c>
      <c r="K20" s="32">
        <f t="shared" si="0"/>
        <v>2.690378980464233</v>
      </c>
      <c r="L20" s="32">
        <f t="shared" si="1"/>
        <v>92.80128803581944</v>
      </c>
      <c r="M20" s="32">
        <f t="shared" si="2"/>
        <v>5.518873672832366</v>
      </c>
    </row>
    <row r="21" spans="2:13" ht="32.25" customHeight="1">
      <c r="B21" s="21" t="s">
        <v>25</v>
      </c>
      <c r="C21" s="23">
        <f>C7-C8-C9-C10-C11-C12-C13-C14-C15-C16-C17-C18-C19-C20</f>
        <v>29991138587.62002</v>
      </c>
      <c r="D21" s="23">
        <f aca="true" t="shared" si="3" ref="D21:J21">D7-D8-D9-D10-D11-D12-D13-D14-D15-D16-D17-D18-D19-D20</f>
        <v>30535242254.830006</v>
      </c>
      <c r="E21" s="23">
        <f t="shared" si="3"/>
        <v>30574593390.250015</v>
      </c>
      <c r="F21" s="23">
        <f t="shared" si="3"/>
        <v>10899943.189999942</v>
      </c>
      <c r="G21" s="23">
        <f t="shared" si="3"/>
        <v>6035200.490000057</v>
      </c>
      <c r="H21" s="23">
        <f t="shared" si="3"/>
        <v>9643307.120000008</v>
      </c>
      <c r="I21" s="23">
        <f t="shared" si="3"/>
        <v>15781730.18000001</v>
      </c>
      <c r="J21" s="24">
        <f t="shared" si="3"/>
        <v>703212.7799999985</v>
      </c>
      <c r="K21" s="32">
        <f t="shared" si="0"/>
        <v>10.963900297266191</v>
      </c>
      <c r="L21" s="32">
        <f t="shared" si="1"/>
        <v>101.81421477420861</v>
      </c>
      <c r="M21" s="32">
        <f t="shared" si="2"/>
        <v>22.49065322823048</v>
      </c>
    </row>
    <row r="22" spans="2:13" ht="36.75" customHeight="1">
      <c r="B22" s="68" t="s">
        <v>70</v>
      </c>
      <c r="C22" s="69">
        <f>C23+C36+C38</f>
        <v>85412746077.31</v>
      </c>
      <c r="D22" s="69">
        <f>D23+D36+D38</f>
        <v>80992977498.18999</v>
      </c>
      <c r="E22" s="69">
        <f>E23+E36+E38</f>
        <v>81103169461.01999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29.08111626094655</v>
      </c>
      <c r="L22" s="70">
        <f t="shared" si="1"/>
        <v>94.82539927340643</v>
      </c>
      <c r="M22" s="73"/>
    </row>
    <row r="23" spans="2:13" ht="36.75" customHeight="1">
      <c r="B23" s="68" t="s">
        <v>63</v>
      </c>
      <c r="C23" s="69">
        <f>C24+C26+C28+C30+C32+C34</f>
        <v>63992086703.42999</v>
      </c>
      <c r="D23" s="69">
        <f>D24+D26+D28+D30+D32+D34</f>
        <v>63157028365.02</v>
      </c>
      <c r="E23" s="69">
        <f>E24+E26+E28+E30+E32+E34</f>
        <v>63326744024.009995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22.676989305894963</v>
      </c>
      <c r="L23" s="70">
        <f t="shared" si="1"/>
        <v>98.6950599965898</v>
      </c>
      <c r="M23" s="73"/>
    </row>
    <row r="24" spans="2:13" ht="33.75" customHeight="1">
      <c r="B24" s="71" t="s">
        <v>9</v>
      </c>
      <c r="C24" s="24">
        <f>53471984466.63</f>
        <v>53471984466.63</v>
      </c>
      <c r="D24" s="24">
        <f>53080452918.27</f>
        <v>53080452918.27</v>
      </c>
      <c r="E24" s="24">
        <f>53191162339.78</f>
        <v>53191162339.78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19.058921775463883</v>
      </c>
      <c r="L24" s="32">
        <f t="shared" si="1"/>
        <v>99.26778190062436</v>
      </c>
      <c r="M24" s="28"/>
    </row>
    <row r="25" spans="2:13" ht="21" customHeight="1">
      <c r="B25" s="74" t="s">
        <v>6</v>
      </c>
      <c r="C25" s="24">
        <f>177080291.73</f>
        <v>177080291.73</v>
      </c>
      <c r="D25" s="24">
        <f>171835764.54</f>
        <v>171835764.54</v>
      </c>
      <c r="E25" s="24">
        <f>171848775.76</f>
        <v>171848775.76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0.06169887810937748</v>
      </c>
      <c r="L25" s="32">
        <f t="shared" si="1"/>
        <v>97.0383337757335</v>
      </c>
      <c r="M25" s="28"/>
    </row>
    <row r="26" spans="2:13" ht="33.75" customHeight="1">
      <c r="B26" s="71" t="s">
        <v>7</v>
      </c>
      <c r="C26" s="24">
        <f>7167723470.68</f>
        <v>7167723470.68</v>
      </c>
      <c r="D26" s="24">
        <f>6930301707.91</f>
        <v>6930301707.91</v>
      </c>
      <c r="E26" s="24">
        <f>6971414517.71</f>
        <v>6971414517.71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2.488375114937232</v>
      </c>
      <c r="L26" s="32">
        <f t="shared" si="1"/>
        <v>96.68762663987822</v>
      </c>
      <c r="M26" s="28"/>
    </row>
    <row r="27" spans="2:13" ht="21" customHeight="1">
      <c r="B27" s="74" t="s">
        <v>6</v>
      </c>
      <c r="C27" s="24">
        <f>1050381032.27</f>
        <v>1050381032.27</v>
      </c>
      <c r="D27" s="24">
        <f>936798880.76</f>
        <v>936798880.76</v>
      </c>
      <c r="E27" s="24">
        <f>945800102.09</f>
        <v>945800102.09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0.3363644356094328</v>
      </c>
      <c r="L27" s="32">
        <f t="shared" si="1"/>
        <v>89.1865762975046</v>
      </c>
      <c r="M27" s="28"/>
    </row>
    <row r="28" spans="2:13" ht="39.75" customHeight="1">
      <c r="B28" s="71" t="s">
        <v>10</v>
      </c>
      <c r="C28" s="24">
        <f>149337508.39</f>
        <v>149337508.39</v>
      </c>
      <c r="D28" s="24">
        <f>122682214.46</f>
        <v>122682214.46</v>
      </c>
      <c r="E28" s="24">
        <f>128626247.64</f>
        <v>128626247.64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0.04404993929185242</v>
      </c>
      <c r="L28" s="32">
        <f t="shared" si="1"/>
        <v>82.15097183730374</v>
      </c>
      <c r="M28" s="28"/>
    </row>
    <row r="29" spans="2:13" ht="21" customHeight="1">
      <c r="B29" s="74" t="s">
        <v>6</v>
      </c>
      <c r="C29" s="24">
        <f>15437249.55</f>
        <v>15437249.55</v>
      </c>
      <c r="D29" s="24">
        <f>13643475.4</f>
        <v>13643475.4</v>
      </c>
      <c r="E29" s="24">
        <f>13653655.82</f>
        <v>13653655.82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0.0048987888402995325</v>
      </c>
      <c r="L29" s="32">
        <f t="shared" si="1"/>
        <v>88.38022185111336</v>
      </c>
      <c r="M29" s="28"/>
    </row>
    <row r="30" spans="2:13" ht="39.75" customHeight="1">
      <c r="B30" s="71" t="s">
        <v>11</v>
      </c>
      <c r="C30" s="24">
        <f>1429696779.17</f>
        <v>1429696779.17</v>
      </c>
      <c r="D30" s="24">
        <f>1389695358.1</f>
        <v>1389695358.1</v>
      </c>
      <c r="E30" s="24">
        <f>1392847178.45</f>
        <v>1392847178.45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0.4989802020441465</v>
      </c>
      <c r="L30" s="32">
        <f t="shared" si="1"/>
        <v>97.20210455442009</v>
      </c>
      <c r="M30" s="28"/>
    </row>
    <row r="31" spans="2:13" ht="21" customHeight="1">
      <c r="B31" s="74" t="s">
        <v>6</v>
      </c>
      <c r="C31" s="24">
        <f>372732843.58</f>
        <v>372732843.58</v>
      </c>
      <c r="D31" s="24">
        <f>325315850.97</f>
        <v>325315850.97</v>
      </c>
      <c r="E31" s="24">
        <f>325352990.87</f>
        <v>325352990.87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0.11680701680338589</v>
      </c>
      <c r="L31" s="32">
        <f t="shared" si="1"/>
        <v>87.27855797343419</v>
      </c>
      <c r="M31" s="28"/>
    </row>
    <row r="32" spans="2:13" ht="39.75" customHeight="1">
      <c r="B32" s="71" t="s">
        <v>82</v>
      </c>
      <c r="C32" s="24">
        <f>1199990458.67</f>
        <v>1199990458.67</v>
      </c>
      <c r="D32" s="24">
        <f>1105997784.05</f>
        <v>1105997784.05</v>
      </c>
      <c r="E32" s="24">
        <f>1114954745.64</f>
        <v>1114954745.64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0.39711652955376403</v>
      </c>
      <c r="L32" s="32">
        <f t="shared" si="1"/>
        <v>92.1672148356766</v>
      </c>
      <c r="M32" s="28"/>
    </row>
    <row r="33" spans="2:13" ht="24" customHeight="1">
      <c r="B33" s="74" t="s">
        <v>6</v>
      </c>
      <c r="C33" s="24">
        <f>1013458948.34</f>
        <v>1013458948.34</v>
      </c>
      <c r="D33" s="24">
        <f>924957366.96</f>
        <v>924957366.96</v>
      </c>
      <c r="E33" s="24">
        <f>933685802.64</f>
        <v>933685802.64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0.33211265415676183</v>
      </c>
      <c r="L33" s="32">
        <f t="shared" si="1"/>
        <v>91.26737382654112</v>
      </c>
      <c r="M33" s="28"/>
    </row>
    <row r="34" spans="2:13" ht="22.5" customHeight="1">
      <c r="B34" s="71" t="s">
        <v>8</v>
      </c>
      <c r="C34" s="24">
        <f>573354019.89</f>
        <v>573354019.89</v>
      </c>
      <c r="D34" s="24">
        <f>527898382.23</f>
        <v>527898382.23</v>
      </c>
      <c r="E34" s="24">
        <f>527738994.79</f>
        <v>527738994.79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0.18954574460408388</v>
      </c>
      <c r="L34" s="32">
        <f t="shared" si="1"/>
        <v>92.07197715841936</v>
      </c>
      <c r="M34" s="28"/>
    </row>
    <row r="35" spans="2:13" ht="21" customHeight="1">
      <c r="B35" s="74" t="s">
        <v>6</v>
      </c>
      <c r="C35" s="24">
        <f>431338088.92</f>
        <v>431338088.92</v>
      </c>
      <c r="D35" s="24">
        <f>392660553.38</f>
        <v>392660553.38</v>
      </c>
      <c r="E35" s="24">
        <f>392032369.43</f>
        <v>392032369.43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0.14098762086116143</v>
      </c>
      <c r="L35" s="32">
        <f t="shared" si="1"/>
        <v>91.0331277173221</v>
      </c>
      <c r="M35" s="28"/>
    </row>
    <row r="36" spans="2:13" ht="25.5" customHeight="1">
      <c r="B36" s="68" t="s">
        <v>72</v>
      </c>
      <c r="C36" s="69">
        <f>2762990802.08</f>
        <v>2762990802.08</v>
      </c>
      <c r="D36" s="69">
        <f>2131858304.27</f>
        <v>2131858304.27</v>
      </c>
      <c r="E36" s="69">
        <f>2146019199.89</f>
        <v>2146019199.89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0.7654591930482582</v>
      </c>
      <c r="L36" s="70">
        <f t="shared" si="1"/>
        <v>77.15763304985023</v>
      </c>
      <c r="M36" s="28"/>
    </row>
    <row r="37" spans="2:13" ht="19.5" customHeight="1">
      <c r="B37" s="29" t="s">
        <v>73</v>
      </c>
      <c r="C37" s="23">
        <f>1827727981.1</f>
        <v>1827727981.1</v>
      </c>
      <c r="D37" s="23">
        <f>1336302625.47</f>
        <v>1336302625.47</v>
      </c>
      <c r="E37" s="23">
        <f>1338420098.84</f>
        <v>1338420098.84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0.4798091539722644</v>
      </c>
      <c r="L37" s="32">
        <f t="shared" si="1"/>
        <v>73.11277385301939</v>
      </c>
      <c r="M37" s="28"/>
    </row>
    <row r="38" spans="2:13" ht="25.5" customHeight="1">
      <c r="B38" s="68" t="s">
        <v>97</v>
      </c>
      <c r="C38" s="69">
        <f>18657668571.8</f>
        <v>18657668571.8</v>
      </c>
      <c r="D38" s="69">
        <f>15704090828.9</f>
        <v>15704090828.9</v>
      </c>
      <c r="E38" s="69">
        <f>15630406237.12</f>
        <v>15630406237.12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5.638667762003335</v>
      </c>
      <c r="L38" s="70">
        <f t="shared" si="1"/>
        <v>84.1696312080269</v>
      </c>
      <c r="M38" s="28"/>
    </row>
    <row r="39" spans="2:13" ht="21" customHeight="1">
      <c r="B39" s="29" t="s">
        <v>98</v>
      </c>
      <c r="C39" s="23">
        <f>15153630354.63</f>
        <v>15153630354.63</v>
      </c>
      <c r="D39" s="23">
        <f>12646868951.95</f>
        <v>12646868951.95</v>
      </c>
      <c r="E39" s="23">
        <f>12559870756.9</f>
        <v>12559870756.9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4.540950063687094</v>
      </c>
      <c r="L39" s="32">
        <f t="shared" si="1"/>
        <v>83.457684105947</v>
      </c>
      <c r="M39" s="28"/>
    </row>
    <row r="40" spans="2:13" ht="35.25" customHeight="1">
      <c r="B40" s="68" t="s">
        <v>64</v>
      </c>
      <c r="C40" s="69">
        <f>C41+C42+C43+C44+C45+C46</f>
        <v>61704342171.24</v>
      </c>
      <c r="D40" s="69">
        <f>D41+D42+D43+D44+D45+D46</f>
        <v>61745548381.59</v>
      </c>
      <c r="E40" s="69">
        <f>E41+E42+E43+E44+E45+E46</f>
        <v>61785788159.89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22.170187176055446</v>
      </c>
      <c r="L40" s="70">
        <f t="shared" si="1"/>
        <v>100.06678008208182</v>
      </c>
      <c r="M40" s="28"/>
    </row>
    <row r="41" spans="2:13" ht="26.25" customHeight="1">
      <c r="B41" s="21" t="s">
        <v>50</v>
      </c>
      <c r="C41" s="23">
        <f>11858541049</f>
        <v>11858541049</v>
      </c>
      <c r="D41" s="23">
        <f>11858541049</f>
        <v>11858541049</v>
      </c>
      <c r="E41" s="23">
        <f>11853579066</f>
        <v>11853579066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4.2578952099752465</v>
      </c>
      <c r="L41" s="32">
        <f t="shared" si="1"/>
        <v>100</v>
      </c>
      <c r="M41" s="28"/>
    </row>
    <row r="42" spans="2:13" ht="26.25" customHeight="1">
      <c r="B42" s="21" t="s">
        <v>49</v>
      </c>
      <c r="C42" s="23">
        <f>46896258254.24</f>
        <v>46896258254.24</v>
      </c>
      <c r="D42" s="23">
        <f>46899413597.59</f>
        <v>46899413597.59</v>
      </c>
      <c r="E42" s="23">
        <f>46944704399.89</f>
        <v>46944704399.89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16.839574757357354</v>
      </c>
      <c r="L42" s="32">
        <f t="shared" si="1"/>
        <v>100.00672834777755</v>
      </c>
      <c r="M42" s="28"/>
    </row>
    <row r="43" spans="2:13" ht="26.25" customHeight="1">
      <c r="B43" s="21" t="s">
        <v>48</v>
      </c>
      <c r="C43" s="23">
        <f>180647</f>
        <v>180647</v>
      </c>
      <c r="D43" s="23">
        <f>84704</f>
        <v>84704</v>
      </c>
      <c r="E43" s="23">
        <f>84704</f>
        <v>84704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3.04135858176379E-05</v>
      </c>
      <c r="L43" s="32">
        <f t="shared" si="1"/>
        <v>46.889237020266044</v>
      </c>
      <c r="M43" s="28"/>
    </row>
    <row r="44" spans="2:13" ht="26.25" customHeight="1">
      <c r="B44" s="21" t="s">
        <v>47</v>
      </c>
      <c r="C44" s="23">
        <f>1837975496</f>
        <v>1837975496</v>
      </c>
      <c r="D44" s="23">
        <f>1837975496</f>
        <v>1837975496</v>
      </c>
      <c r="E44" s="23">
        <f>1838055496</f>
        <v>1838055496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0.6599384383064741</v>
      </c>
      <c r="L44" s="32">
        <f t="shared" si="1"/>
        <v>100</v>
      </c>
      <c r="M44" s="28"/>
    </row>
    <row r="45" spans="2:13" ht="26.25" customHeight="1">
      <c r="B45" s="21" t="s">
        <v>60</v>
      </c>
      <c r="C45" s="23">
        <f>509369153</f>
        <v>509369153</v>
      </c>
      <c r="D45" s="23">
        <f>509369153</f>
        <v>509369153</v>
      </c>
      <c r="E45" s="23">
        <f>509369153</f>
        <v>509369153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0.18289269039978076</v>
      </c>
      <c r="L45" s="32">
        <f t="shared" si="1"/>
        <v>100</v>
      </c>
      <c r="M45" s="28"/>
    </row>
    <row r="46" spans="2:13" ht="26.25" customHeight="1">
      <c r="B46" s="21" t="s">
        <v>45</v>
      </c>
      <c r="C46" s="23">
        <f>602017572</f>
        <v>602017572</v>
      </c>
      <c r="D46" s="23">
        <f>640164382</f>
        <v>640164382</v>
      </c>
      <c r="E46" s="23">
        <f>639995341</f>
        <v>639995341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0.22985566643077224</v>
      </c>
      <c r="L46" s="32">
        <f t="shared" si="1"/>
        <v>106.33649444372033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281292138355.76</v>
      </c>
      <c r="D48" s="76">
        <f t="shared" si="4"/>
        <v>278507113590.26</v>
      </c>
      <c r="E48" s="76">
        <f t="shared" si="4"/>
        <v>278507428727.18</v>
      </c>
      <c r="F48" s="76">
        <f t="shared" si="4"/>
        <v>3445782741.1</v>
      </c>
      <c r="G48" s="76">
        <f t="shared" si="4"/>
        <v>751033381.47</v>
      </c>
      <c r="H48" s="76">
        <f t="shared" si="4"/>
        <v>90792498.18</v>
      </c>
      <c r="I48" s="76">
        <f t="shared" si="4"/>
        <v>133596194.79</v>
      </c>
      <c r="J48" s="76">
        <f t="shared" si="4"/>
        <v>11047378.7</v>
      </c>
      <c r="K48" s="77">
        <f>IF($D$48=0,"",100*$D48/$D$48)</f>
        <v>100</v>
      </c>
      <c r="L48" s="77">
        <f t="shared" si="1"/>
        <v>99.00991731166773</v>
      </c>
      <c r="M48" s="4"/>
    </row>
    <row r="49" spans="1:13" s="6" customFormat="1" ht="24.75" customHeight="1">
      <c r="A49" s="3"/>
      <c r="B49" s="66" t="s">
        <v>76</v>
      </c>
      <c r="C49" s="67">
        <f>28440340150.38</f>
        <v>28440340150.38</v>
      </c>
      <c r="D49" s="67">
        <f>25194880404.76</f>
        <v>25194880404.76</v>
      </c>
      <c r="E49" s="67">
        <f>25178283041.53</f>
        <v>25178283041.53</v>
      </c>
      <c r="F49" s="67">
        <f>0</f>
        <v>0</v>
      </c>
      <c r="G49" s="67">
        <f>3392.93</f>
        <v>3392.93</v>
      </c>
      <c r="H49" s="67">
        <f>0</f>
        <v>0</v>
      </c>
      <c r="I49" s="67">
        <f>0</f>
        <v>0</v>
      </c>
      <c r="J49" s="67">
        <f>6730</f>
        <v>6730</v>
      </c>
      <c r="K49" s="33">
        <f>IF($D$48=0,"",100*$D49/$D$48)</f>
        <v>9.04640462499164</v>
      </c>
      <c r="L49" s="33">
        <f t="shared" si="1"/>
        <v>88.58853400325229</v>
      </c>
      <c r="M49" s="4"/>
    </row>
    <row r="50" spans="1:13" s="6" customFormat="1" ht="24.75" customHeight="1">
      <c r="A50" s="3"/>
      <c r="B50" s="66" t="s">
        <v>77</v>
      </c>
      <c r="C50" s="67">
        <f>+C48-C49</f>
        <v>252851798205.38</v>
      </c>
      <c r="D50" s="67">
        <f aca="true" t="shared" si="5" ref="D50:J50">+D48-D49</f>
        <v>253312233185.5</v>
      </c>
      <c r="E50" s="67">
        <f t="shared" si="5"/>
        <v>253329145685.65</v>
      </c>
      <c r="F50" s="67">
        <f t="shared" si="5"/>
        <v>3445782741.1</v>
      </c>
      <c r="G50" s="67">
        <f t="shared" si="5"/>
        <v>751029988.5400001</v>
      </c>
      <c r="H50" s="67">
        <f t="shared" si="5"/>
        <v>90792498.18</v>
      </c>
      <c r="I50" s="67">
        <f t="shared" si="5"/>
        <v>133596194.79</v>
      </c>
      <c r="J50" s="67">
        <f t="shared" si="5"/>
        <v>11040648.7</v>
      </c>
      <c r="K50" s="33">
        <f>IF($D$48=0,"",100*$D50/$D$48)</f>
        <v>90.95359537500836</v>
      </c>
      <c r="L50" s="33">
        <f t="shared" si="1"/>
        <v>100.18209677897802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299725206016.29</f>
        <v>299725206016.29</v>
      </c>
      <c r="D59" s="76">
        <f>280480239439.62</f>
        <v>280480239439.62</v>
      </c>
      <c r="E59" s="76">
        <f>280208973920.25</f>
        <v>280208973920.25</v>
      </c>
      <c r="F59" s="76">
        <f>12799249051.81</f>
        <v>12799249051.81</v>
      </c>
      <c r="G59" s="76">
        <f>1183822.31</f>
        <v>1183822.31</v>
      </c>
      <c r="H59" s="76">
        <f>30498621.45</f>
        <v>30498621.45</v>
      </c>
      <c r="I59" s="110">
        <f>1567541292.53</f>
        <v>1567541292.53</v>
      </c>
      <c r="J59" s="110"/>
      <c r="K59" s="60">
        <f aca="true" t="shared" si="6" ref="K59:K68">IF($E$59=0,"",100*$E59/$E$59)</f>
        <v>100</v>
      </c>
      <c r="L59" s="60">
        <f aca="true" t="shared" si="7" ref="L59:L68">IF(C59=0,"",100*E59/C59)</f>
        <v>93.48862501241244</v>
      </c>
    </row>
    <row r="60" spans="2:12" ht="24" customHeight="1">
      <c r="B60" s="20" t="s">
        <v>14</v>
      </c>
      <c r="C60" s="26">
        <f>60327873268.95</f>
        <v>60327873268.95</v>
      </c>
      <c r="D60" s="26">
        <f>51231786978.69</f>
        <v>51231786978.69</v>
      </c>
      <c r="E60" s="26">
        <f>51052364870.72</f>
        <v>51052364870.72</v>
      </c>
      <c r="F60" s="26">
        <f>1616036847.99</f>
        <v>1616036847.99</v>
      </c>
      <c r="G60" s="26">
        <f>90447.78</f>
        <v>90447.78</v>
      </c>
      <c r="H60" s="26">
        <f>10129790.76</f>
        <v>10129790.76</v>
      </c>
      <c r="I60" s="111">
        <f>1419333820.08</f>
        <v>1419333820.08</v>
      </c>
      <c r="J60" s="112"/>
      <c r="K60" s="34">
        <f t="shared" si="6"/>
        <v>18.219389677808806</v>
      </c>
      <c r="L60" s="34">
        <f t="shared" si="7"/>
        <v>84.6248377480862</v>
      </c>
    </row>
    <row r="61" spans="2:12" ht="22.5" customHeight="1">
      <c r="B61" s="21" t="s">
        <v>13</v>
      </c>
      <c r="C61" s="23">
        <f>58176183616.04</f>
        <v>58176183616.04</v>
      </c>
      <c r="D61" s="23">
        <f>49153291461.75</f>
        <v>49153291461.75</v>
      </c>
      <c r="E61" s="23">
        <f>48973869353.78</f>
        <v>48973869353.78</v>
      </c>
      <c r="F61" s="23">
        <f>1504164376.93</f>
        <v>1504164376.93</v>
      </c>
      <c r="G61" s="23">
        <f>90447.78</f>
        <v>90447.78</v>
      </c>
      <c r="H61" s="23">
        <f>7053888.6</f>
        <v>7053888.6</v>
      </c>
      <c r="I61" s="108">
        <f>1418970320.08</f>
        <v>1418970320.08</v>
      </c>
      <c r="J61" s="109"/>
      <c r="K61" s="35">
        <f t="shared" si="6"/>
        <v>17.477623456741398</v>
      </c>
      <c r="L61" s="35">
        <f t="shared" si="7"/>
        <v>84.18199048085583</v>
      </c>
    </row>
    <row r="62" spans="2:12" ht="44.25" customHeight="1">
      <c r="B62" s="68" t="s">
        <v>66</v>
      </c>
      <c r="C62" s="76">
        <f aca="true" t="shared" si="8" ref="C62:I62">C59-C60</f>
        <v>239397332747.33997</v>
      </c>
      <c r="D62" s="76">
        <f t="shared" si="8"/>
        <v>229248452460.93</v>
      </c>
      <c r="E62" s="76">
        <f t="shared" si="8"/>
        <v>229156609049.53</v>
      </c>
      <c r="F62" s="76">
        <f t="shared" si="8"/>
        <v>11183212203.82</v>
      </c>
      <c r="G62" s="76">
        <f t="shared" si="8"/>
        <v>1093374.53</v>
      </c>
      <c r="H62" s="76">
        <f t="shared" si="8"/>
        <v>20368830.689999998</v>
      </c>
      <c r="I62" s="110">
        <f t="shared" si="8"/>
        <v>148207472.45000005</v>
      </c>
      <c r="J62" s="110"/>
      <c r="K62" s="60">
        <f t="shared" si="6"/>
        <v>81.7806103221912</v>
      </c>
      <c r="L62" s="60">
        <f t="shared" si="7"/>
        <v>95.7222899769656</v>
      </c>
    </row>
    <row r="63" spans="2:12" ht="22.5" customHeight="1">
      <c r="B63" s="21" t="s">
        <v>112</v>
      </c>
      <c r="C63" s="23">
        <f>92192797017.03</f>
        <v>92192797017.03</v>
      </c>
      <c r="D63" s="23">
        <f>89934440032</f>
        <v>89934440032</v>
      </c>
      <c r="E63" s="23">
        <f>89872743029.53</f>
        <v>89872743029.53</v>
      </c>
      <c r="F63" s="23">
        <f>7619966251.09</f>
        <v>7619966251.09</v>
      </c>
      <c r="G63" s="23">
        <f>55443.01</f>
        <v>55443.01</v>
      </c>
      <c r="H63" s="23">
        <f>3864932.77</f>
        <v>3864932.77</v>
      </c>
      <c r="I63" s="108">
        <f>1001953.34</f>
        <v>1001953.34</v>
      </c>
      <c r="J63" s="109"/>
      <c r="K63" s="35">
        <f t="shared" si="6"/>
        <v>32.07347065733469</v>
      </c>
      <c r="L63" s="35">
        <f t="shared" si="7"/>
        <v>97.4834758651791</v>
      </c>
    </row>
    <row r="64" spans="2:12" ht="22.5" customHeight="1">
      <c r="B64" s="21" t="s">
        <v>53</v>
      </c>
      <c r="C64" s="23">
        <f>24571526444.75</f>
        <v>24571526444.75</v>
      </c>
      <c r="D64" s="23">
        <f>23990042736.66</f>
        <v>23990042736.66</v>
      </c>
      <c r="E64" s="23">
        <f>23982539531.07</f>
        <v>23982539531.07</v>
      </c>
      <c r="F64" s="23">
        <f>25126419.87</f>
        <v>25126419.87</v>
      </c>
      <c r="G64" s="23">
        <f>0</f>
        <v>0</v>
      </c>
      <c r="H64" s="23">
        <f>965777.4</f>
        <v>965777.4</v>
      </c>
      <c r="I64" s="108">
        <f>11346116.49</f>
        <v>11346116.49</v>
      </c>
      <c r="J64" s="109"/>
      <c r="K64" s="35">
        <f t="shared" si="6"/>
        <v>8.558804950299574</v>
      </c>
      <c r="L64" s="35">
        <f t="shared" si="7"/>
        <v>97.60296978291373</v>
      </c>
    </row>
    <row r="65" spans="2:12" ht="22.5" customHeight="1">
      <c r="B65" s="21" t="s">
        <v>52</v>
      </c>
      <c r="C65" s="23">
        <f>2313901295.74</f>
        <v>2313901295.74</v>
      </c>
      <c r="D65" s="23">
        <f>2038023566.49</f>
        <v>2038023566.49</v>
      </c>
      <c r="E65" s="23">
        <f>2035143260.07</f>
        <v>2035143260.07</v>
      </c>
      <c r="F65" s="23">
        <f>45434431.42</f>
        <v>45434431.42</v>
      </c>
      <c r="G65" s="23">
        <f>7302.42</f>
        <v>7302.42</v>
      </c>
      <c r="H65" s="23">
        <f>151631.81</f>
        <v>151631.81</v>
      </c>
      <c r="I65" s="108">
        <f>30447.43</f>
        <v>30447.43</v>
      </c>
      <c r="J65" s="109"/>
      <c r="K65" s="35">
        <f t="shared" si="6"/>
        <v>0.7262948190407421</v>
      </c>
      <c r="L65" s="35">
        <f t="shared" si="7"/>
        <v>87.95289858805964</v>
      </c>
    </row>
    <row r="66" spans="2:12" ht="33.75" customHeight="1">
      <c r="B66" s="21" t="s">
        <v>69</v>
      </c>
      <c r="C66" s="23">
        <f>183680148.14</f>
        <v>183680148.14</v>
      </c>
      <c r="D66" s="23">
        <f>33307064.25</f>
        <v>33307064.25</v>
      </c>
      <c r="E66" s="23">
        <f>32845593.19</f>
        <v>32845593.19</v>
      </c>
      <c r="F66" s="23">
        <f>877032.09</f>
        <v>877032.09</v>
      </c>
      <c r="G66" s="23">
        <f>0</f>
        <v>0</v>
      </c>
      <c r="H66" s="23">
        <f>0</f>
        <v>0</v>
      </c>
      <c r="I66" s="108">
        <f>0</f>
        <v>0</v>
      </c>
      <c r="J66" s="109"/>
      <c r="K66" s="35">
        <f t="shared" si="6"/>
        <v>0.011721820586427097</v>
      </c>
      <c r="L66" s="35">
        <f t="shared" si="7"/>
        <v>17.881950511584556</v>
      </c>
    </row>
    <row r="67" spans="2:12" ht="30" customHeight="1">
      <c r="B67" s="21" t="s">
        <v>71</v>
      </c>
      <c r="C67" s="23">
        <f>51556541945.84</f>
        <v>51556541945.84</v>
      </c>
      <c r="D67" s="23">
        <f>50863260976.84</f>
        <v>50863260976.84</v>
      </c>
      <c r="E67" s="23">
        <f>50838643378.99</f>
        <v>50838643378.99</v>
      </c>
      <c r="F67" s="23">
        <f>1236733486.51</f>
        <v>1236733486.51</v>
      </c>
      <c r="G67" s="23">
        <f>4068.6</f>
        <v>4068.6</v>
      </c>
      <c r="H67" s="23">
        <f>529388.2</f>
        <v>529388.2</v>
      </c>
      <c r="I67" s="108">
        <f>58090</f>
        <v>58090</v>
      </c>
      <c r="J67" s="109"/>
      <c r="K67" s="35">
        <f t="shared" si="6"/>
        <v>18.14311749824941</v>
      </c>
      <c r="L67" s="35">
        <f t="shared" si="7"/>
        <v>98.60755097266969</v>
      </c>
    </row>
    <row r="68" spans="2:12" ht="22.5" customHeight="1">
      <c r="B68" s="21" t="s">
        <v>51</v>
      </c>
      <c r="C68" s="23">
        <f aca="true" t="shared" si="9" ref="C68:I68">C62-C63-C64-C65-C66-C67</f>
        <v>68578885895.839966</v>
      </c>
      <c r="D68" s="23">
        <f t="shared" si="9"/>
        <v>62389378084.68999</v>
      </c>
      <c r="E68" s="23">
        <f t="shared" si="9"/>
        <v>62394694256.679985</v>
      </c>
      <c r="F68" s="23">
        <f t="shared" si="9"/>
        <v>2255074582.839999</v>
      </c>
      <c r="G68" s="23">
        <f t="shared" si="9"/>
        <v>1026560.5</v>
      </c>
      <c r="H68" s="23">
        <f t="shared" si="9"/>
        <v>14857100.509999998</v>
      </c>
      <c r="I68" s="108">
        <f t="shared" si="9"/>
        <v>135770865.19000003</v>
      </c>
      <c r="J68" s="109"/>
      <c r="K68" s="35">
        <f t="shared" si="6"/>
        <v>22.26720057668034</v>
      </c>
      <c r="L68" s="35">
        <f t="shared" si="7"/>
        <v>90.98236788425996</v>
      </c>
    </row>
    <row r="69" spans="2:13" ht="24" customHeight="1">
      <c r="B69" s="20" t="s">
        <v>15</v>
      </c>
      <c r="C69" s="26">
        <f>C6-C59</f>
        <v>-18433067660.52997</v>
      </c>
      <c r="D69" s="26"/>
      <c r="E69" s="26">
        <f>D6-E59</f>
        <v>-1701860329.9899902</v>
      </c>
      <c r="F69" s="26"/>
      <c r="G69" s="26"/>
      <c r="H69" s="26"/>
      <c r="I69" s="111"/>
      <c r="J69" s="111"/>
      <c r="K69" s="27"/>
      <c r="L69" s="27"/>
      <c r="M69" s="14"/>
    </row>
    <row r="70" spans="2:13" ht="38.25">
      <c r="B70" s="61" t="s">
        <v>80</v>
      </c>
      <c r="C70" s="62">
        <f>+C50-C62</f>
        <v>13454465458.04004</v>
      </c>
      <c r="D70" s="62"/>
      <c r="E70" s="62">
        <f>+D50-E62</f>
        <v>24155624135.97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30620920687.99</f>
        <v>30620920687.99</v>
      </c>
      <c r="D73" s="76">
        <f>25359875647.46</f>
        <v>25359875647.46</v>
      </c>
      <c r="E73" s="76">
        <f>25288222919.09</f>
        <v>25288222919.09</v>
      </c>
      <c r="F73" s="76">
        <f>778063879.61</f>
        <v>778063879.61</v>
      </c>
      <c r="G73" s="76">
        <f>34096.81</f>
        <v>34096.81</v>
      </c>
      <c r="H73" s="76">
        <f>4955976.34</f>
        <v>4955976.34</v>
      </c>
      <c r="I73" s="110">
        <f>315207144.41</f>
        <v>315207144.41</v>
      </c>
      <c r="J73" s="110"/>
      <c r="K73" s="60">
        <f>IF($E$73=0,"",100*$E73/$E$73)</f>
        <v>100</v>
      </c>
      <c r="L73" s="60">
        <f>IF(C73=0,"",100*E73/C73)</f>
        <v>82.5847895847509</v>
      </c>
      <c r="M73" s="11"/>
    </row>
    <row r="74" spans="2:13" ht="21.75" customHeight="1">
      <c r="B74" s="78" t="s">
        <v>78</v>
      </c>
      <c r="C74" s="79">
        <f>25246314666.95</f>
        <v>25246314666.95</v>
      </c>
      <c r="D74" s="79">
        <f>21116260179.04</f>
        <v>21116260179.04</v>
      </c>
      <c r="E74" s="79">
        <f>21056346246.78</f>
        <v>21056346246.78</v>
      </c>
      <c r="F74" s="79">
        <f>694664914.68</f>
        <v>694664914.68</v>
      </c>
      <c r="G74" s="79">
        <f>34096.81</f>
        <v>34096.81</v>
      </c>
      <c r="H74" s="79">
        <f>4899781.57</f>
        <v>4899781.57</v>
      </c>
      <c r="I74" s="113">
        <f>310899365.33</f>
        <v>310899365.33</v>
      </c>
      <c r="J74" s="113"/>
      <c r="K74" s="80">
        <f>IF($E$73=0,"",100*$E74/$E$73)</f>
        <v>83.2654248349125</v>
      </c>
      <c r="L74" s="80">
        <f>IF(C74=0,"",100*E74/C74)</f>
        <v>83.40364336163846</v>
      </c>
      <c r="M74" s="11"/>
    </row>
    <row r="75" spans="2:12" ht="24" customHeight="1">
      <c r="B75" s="78" t="s">
        <v>79</v>
      </c>
      <c r="C75" s="79">
        <f aca="true" t="shared" si="10" ref="C75:I75">C73-C74</f>
        <v>5374606021.040001</v>
      </c>
      <c r="D75" s="79">
        <f t="shared" si="10"/>
        <v>4243615468.419998</v>
      </c>
      <c r="E75" s="79">
        <f t="shared" si="10"/>
        <v>4231876672.3100014</v>
      </c>
      <c r="F75" s="79">
        <f t="shared" si="10"/>
        <v>83398964.93000007</v>
      </c>
      <c r="G75" s="79">
        <f t="shared" si="10"/>
        <v>0</v>
      </c>
      <c r="H75" s="79">
        <f t="shared" si="10"/>
        <v>56194.76999999955</v>
      </c>
      <c r="I75" s="113">
        <f t="shared" si="10"/>
        <v>4307779.080000043</v>
      </c>
      <c r="J75" s="113"/>
      <c r="K75" s="80">
        <f>IF($E$73=0,"",100*$E75/$E$73)</f>
        <v>16.734575165087502</v>
      </c>
      <c r="L75" s="80">
        <f>IF(C75=0,"",100*E75/C75)</f>
        <v>78.73836064901221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31399387159.83</f>
        <v>31399387159.83</v>
      </c>
      <c r="D80" s="46"/>
      <c r="E80" s="45">
        <f>33097534999.58</f>
        <v>33097534999.58</v>
      </c>
      <c r="F80" s="46"/>
      <c r="G80" s="42">
        <f>IF($E$80=0,"",100*$E80/$E$80)</f>
        <v>100</v>
      </c>
      <c r="H80" s="34">
        <f>IF(C80=0,"",100*E80/C80)</f>
        <v>105.4082196926521</v>
      </c>
    </row>
    <row r="81" spans="2:8" ht="33.75">
      <c r="B81" s="37" t="s">
        <v>100</v>
      </c>
      <c r="C81" s="47">
        <f>16885718673.54</f>
        <v>16885718673.54</v>
      </c>
      <c r="D81" s="48"/>
      <c r="E81" s="47">
        <f>14444745923.46</f>
        <v>14444745923.46</v>
      </c>
      <c r="F81" s="48"/>
      <c r="G81" s="58">
        <f aca="true" t="shared" si="11" ref="G81:G87">IF($E$80=0,"",100*$E81/$E$80)</f>
        <v>43.642965929768785</v>
      </c>
      <c r="H81" s="59">
        <f aca="true" t="shared" si="12" ref="H81:H92">IF(C81=0,"",100*E81/C81)</f>
        <v>85.54415836676814</v>
      </c>
    </row>
    <row r="82" spans="2:8" ht="22.5">
      <c r="B82" s="30" t="s">
        <v>101</v>
      </c>
      <c r="C82" s="82">
        <f>390096837.92</f>
        <v>390096837.92</v>
      </c>
      <c r="D82" s="83"/>
      <c r="E82" s="82">
        <f>365849333.92</f>
        <v>365849333.92</v>
      </c>
      <c r="F82" s="83"/>
      <c r="G82" s="84">
        <f t="shared" si="11"/>
        <v>1.1053673148911014</v>
      </c>
      <c r="H82" s="80">
        <f t="shared" si="12"/>
        <v>93.78423467124524</v>
      </c>
    </row>
    <row r="83" spans="2:8" ht="12.75">
      <c r="B83" s="85" t="s">
        <v>102</v>
      </c>
      <c r="C83" s="82">
        <f>193681148.75</f>
        <v>193681148.75</v>
      </c>
      <c r="D83" s="83"/>
      <c r="E83" s="82">
        <f>149435023.17</f>
        <v>149435023.17</v>
      </c>
      <c r="F83" s="83"/>
      <c r="G83" s="84">
        <f t="shared" si="11"/>
        <v>0.45149895051669636</v>
      </c>
      <c r="H83" s="80">
        <f t="shared" si="12"/>
        <v>77.15517185561922</v>
      </c>
    </row>
    <row r="84" spans="2:8" ht="12.75">
      <c r="B84" s="85" t="s">
        <v>103</v>
      </c>
      <c r="C84" s="82">
        <f>1540051861.41</f>
        <v>1540051861.41</v>
      </c>
      <c r="D84" s="83"/>
      <c r="E84" s="82">
        <f>2409908861.93</f>
        <v>2409908861.93</v>
      </c>
      <c r="F84" s="83"/>
      <c r="G84" s="84">
        <f t="shared" si="11"/>
        <v>7.281233668793101</v>
      </c>
      <c r="H84" s="80">
        <f t="shared" si="12"/>
        <v>156.48231870085198</v>
      </c>
    </row>
    <row r="85" spans="2:8" ht="12.75">
      <c r="B85" s="85" t="s">
        <v>104</v>
      </c>
      <c r="C85" s="82">
        <f>0.53</f>
        <v>0.53</v>
      </c>
      <c r="D85" s="83"/>
      <c r="E85" s="82">
        <f>0.53</f>
        <v>0.53</v>
      </c>
      <c r="F85" s="83"/>
      <c r="G85" s="84">
        <f t="shared" si="11"/>
        <v>1.6013277121898217E-09</v>
      </c>
      <c r="H85" s="80">
        <f t="shared" si="12"/>
        <v>100</v>
      </c>
    </row>
    <row r="86" spans="2:8" ht="33.75">
      <c r="B86" s="85" t="s">
        <v>105</v>
      </c>
      <c r="C86" s="82">
        <f>12433848948.34</f>
        <v>12433848948.34</v>
      </c>
      <c r="D86" s="83"/>
      <c r="E86" s="82">
        <f>15889201544.57</f>
        <v>15889201544.57</v>
      </c>
      <c r="F86" s="83"/>
      <c r="G86" s="84">
        <f t="shared" si="11"/>
        <v>48.007205203564645</v>
      </c>
      <c r="H86" s="80">
        <f t="shared" si="12"/>
        <v>127.78988719089524</v>
      </c>
    </row>
    <row r="87" spans="2:8" ht="12.75">
      <c r="B87" s="85" t="s">
        <v>83</v>
      </c>
      <c r="C87" s="82">
        <f>346086527.26</f>
        <v>346086527.26</v>
      </c>
      <c r="D87" s="83"/>
      <c r="E87" s="82">
        <f>204243645.92</f>
        <v>204243645.92</v>
      </c>
      <c r="F87" s="83"/>
      <c r="G87" s="84">
        <f t="shared" si="11"/>
        <v>0.6170962457554371</v>
      </c>
      <c r="H87" s="80">
        <f t="shared" si="12"/>
        <v>59.01519701937443</v>
      </c>
    </row>
    <row r="88" spans="2:8" ht="25.5">
      <c r="B88" s="38" t="s">
        <v>68</v>
      </c>
      <c r="C88" s="55">
        <f>12810824261.09</f>
        <v>12810824261.09</v>
      </c>
      <c r="D88" s="56"/>
      <c r="E88" s="55">
        <f>11298304556.44</f>
        <v>11298304556.44</v>
      </c>
      <c r="F88" s="56"/>
      <c r="G88" s="42">
        <f>IF($E$88=0,"",100*$E88/$E$88)</f>
        <v>100</v>
      </c>
      <c r="H88" s="34">
        <f t="shared" si="12"/>
        <v>88.19342398409181</v>
      </c>
    </row>
    <row r="89" spans="2:8" ht="33.75">
      <c r="B89" s="37" t="s">
        <v>106</v>
      </c>
      <c r="C89" s="47">
        <f>10181827649.71</f>
        <v>10181827649.71</v>
      </c>
      <c r="D89" s="53"/>
      <c r="E89" s="54">
        <f>10022836908.05</f>
        <v>10022836908.05</v>
      </c>
      <c r="F89" s="53"/>
      <c r="G89" s="58">
        <f>IF($E$88=0,"",100*$E89/$E$88)</f>
        <v>88.71098188211798</v>
      </c>
      <c r="H89" s="59">
        <f t="shared" si="12"/>
        <v>98.43848523929269</v>
      </c>
    </row>
    <row r="90" spans="2:8" ht="22.5">
      <c r="B90" s="30" t="s">
        <v>107</v>
      </c>
      <c r="C90" s="82">
        <f>890673432</f>
        <v>890673432</v>
      </c>
      <c r="D90" s="83"/>
      <c r="E90" s="82">
        <f>890301517.15</f>
        <v>890301517.15</v>
      </c>
      <c r="F90" s="83"/>
      <c r="G90" s="84">
        <f>IF($E$88=0,"",100*$E90/$E$88)</f>
        <v>7.879956790884441</v>
      </c>
      <c r="H90" s="80">
        <f t="shared" si="12"/>
        <v>99.95824341036368</v>
      </c>
    </row>
    <row r="91" spans="2:8" ht="12.75">
      <c r="B91" s="85" t="s">
        <v>108</v>
      </c>
      <c r="C91" s="82">
        <f>380198923.66</f>
        <v>380198923.66</v>
      </c>
      <c r="D91" s="83"/>
      <c r="E91" s="82">
        <f>349308330.22</f>
        <v>349308330.22</v>
      </c>
      <c r="F91" s="83"/>
      <c r="G91" s="84">
        <f>IF($E$88=0,"",100*$E91/$E$88)</f>
        <v>3.0916880358026395</v>
      </c>
      <c r="H91" s="80">
        <f t="shared" si="12"/>
        <v>91.87514968674017</v>
      </c>
    </row>
    <row r="92" spans="2:8" ht="12.75">
      <c r="B92" s="36" t="s">
        <v>33</v>
      </c>
      <c r="C92" s="47">
        <f>2248797687.72</f>
        <v>2248797687.72</v>
      </c>
      <c r="D92" s="50"/>
      <c r="E92" s="47">
        <f>926159318.17</f>
        <v>926159318.17</v>
      </c>
      <c r="F92" s="50"/>
      <c r="G92" s="58">
        <f>IF($E$88=0,"",100*$E92/$E$88)</f>
        <v>8.197330082079368</v>
      </c>
      <c r="H92" s="59">
        <f t="shared" si="12"/>
        <v>41.184643831122486</v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19141544062.04</f>
        <v>19141544062.04</v>
      </c>
      <c r="D97" s="49"/>
      <c r="E97" s="52">
        <f>7000629260.04</f>
        <v>7000629260.04</v>
      </c>
      <c r="F97" s="46"/>
      <c r="G97" s="42"/>
      <c r="H97" s="34"/>
    </row>
    <row r="98" spans="2:8" ht="56.25">
      <c r="B98" s="51" t="s">
        <v>85</v>
      </c>
      <c r="C98" s="54">
        <f>277641417.72</f>
        <v>277641417.72</v>
      </c>
      <c r="D98" s="53"/>
      <c r="E98" s="54">
        <f>161337648.38</f>
        <v>161337648.38</v>
      </c>
      <c r="F98" s="53"/>
      <c r="G98" s="58"/>
      <c r="H98" s="59"/>
    </row>
    <row r="99" spans="2:8" ht="12.75">
      <c r="B99" s="51" t="s">
        <v>86</v>
      </c>
      <c r="C99" s="54">
        <f>10936767137.64</f>
        <v>10936767137.64</v>
      </c>
      <c r="D99" s="53"/>
      <c r="E99" s="54">
        <f>4886665478.53</f>
        <v>4886665478.53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805561811.46</f>
        <v>805561811.46</v>
      </c>
      <c r="D101" s="53"/>
      <c r="E101" s="54">
        <f>194276237.85</f>
        <v>194276237.85</v>
      </c>
      <c r="F101" s="53"/>
      <c r="G101" s="58"/>
      <c r="H101" s="59"/>
    </row>
    <row r="102" spans="2:8" ht="101.25">
      <c r="B102" s="51" t="s">
        <v>89</v>
      </c>
      <c r="C102" s="54">
        <f>7121573695.22</f>
        <v>7121573695.22</v>
      </c>
      <c r="D102" s="53"/>
      <c r="E102" s="54">
        <f>1758349895.28</f>
        <v>1758349895.28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1021826411.12</f>
        <v>1021826411.12</v>
      </c>
      <c r="D107" s="88"/>
      <c r="E107" s="88"/>
      <c r="F107" s="89"/>
    </row>
    <row r="108" spans="2:6" ht="45">
      <c r="B108" s="86" t="s">
        <v>91</v>
      </c>
      <c r="C108" s="87">
        <f>572909153.21</f>
        <v>572909153.21</v>
      </c>
      <c r="D108" s="88"/>
      <c r="E108" s="88"/>
      <c r="F108" s="89"/>
    </row>
    <row r="109" spans="2:6" ht="45">
      <c r="B109" s="86" t="s">
        <v>92</v>
      </c>
      <c r="C109" s="87">
        <f>303333692.71</f>
        <v>303333692.71</v>
      </c>
      <c r="D109" s="88"/>
      <c r="E109" s="88"/>
      <c r="F109" s="89"/>
    </row>
    <row r="110" spans="2:6" ht="78.75">
      <c r="B110" s="86" t="s">
        <v>93</v>
      </c>
      <c r="C110" s="87">
        <f>3100020</f>
        <v>3100020</v>
      </c>
      <c r="D110" s="88"/>
      <c r="E110" s="88"/>
      <c r="F110" s="89"/>
    </row>
    <row r="111" spans="2:6" ht="56.25">
      <c r="B111" s="86" t="s">
        <v>94</v>
      </c>
      <c r="C111" s="87">
        <f>118510880</f>
        <v>118510880</v>
      </c>
      <c r="D111" s="88"/>
      <c r="E111" s="88"/>
      <c r="F111" s="89"/>
    </row>
    <row r="112" spans="2:6" ht="56.25">
      <c r="B112" s="86" t="s">
        <v>95</v>
      </c>
      <c r="C112" s="87">
        <f>9360957.55</f>
        <v>9360957.55</v>
      </c>
      <c r="D112" s="88"/>
      <c r="E112" s="88"/>
      <c r="F112" s="89"/>
    </row>
    <row r="113" spans="2:6" ht="56.25">
      <c r="B113" s="86" t="s">
        <v>96</v>
      </c>
      <c r="C113" s="87">
        <f>500370975.14</f>
        <v>500370975.14</v>
      </c>
      <c r="D113" s="88"/>
      <c r="E113" s="88"/>
      <c r="F113" s="89"/>
    </row>
    <row r="114" spans="2:6" ht="112.5">
      <c r="B114" s="86" t="s">
        <v>109</v>
      </c>
      <c r="C114" s="87">
        <f>4931991.2</f>
        <v>4931991.2</v>
      </c>
      <c r="D114" s="88"/>
      <c r="E114" s="88"/>
      <c r="F114" s="89"/>
    </row>
    <row r="115" spans="2:6" ht="112.5">
      <c r="B115" s="86" t="s">
        <v>110</v>
      </c>
      <c r="C115" s="87">
        <f>8732542.58</f>
        <v>8732542.58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2020-03-26T17:01:37Z</dcterms:modified>
  <cp:category/>
  <cp:version/>
  <cp:contentType/>
  <cp:contentStatus/>
</cp:coreProperties>
</file>