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6\I kwartał\2026.05.18 dane ostateczne\Zbiorówki_2026_k1_2026.05.18\Publikacja\"/>
    </mc:Choice>
  </mc:AlternateContent>
  <xr:revisionPtr revIDLastSave="0" documentId="13_ncr:1_{BD7B3C0A-7779-4559-B5E4-003D574C45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4" i="4" l="1"/>
  <c r="C133" i="4"/>
  <c r="C132" i="4"/>
  <c r="C131" i="4"/>
  <c r="D129" i="4"/>
  <c r="C129" i="4"/>
  <c r="D128" i="4"/>
  <c r="C128" i="4"/>
  <c r="D127" i="4"/>
  <c r="C127" i="4"/>
  <c r="D126" i="4"/>
  <c r="C126" i="4"/>
  <c r="D125" i="4"/>
  <c r="C125" i="4"/>
  <c r="D124" i="4"/>
  <c r="C124" i="4"/>
  <c r="D123" i="4"/>
  <c r="C123" i="4"/>
  <c r="D122" i="4"/>
  <c r="C122" i="4"/>
  <c r="D121" i="4"/>
  <c r="C121" i="4"/>
  <c r="D116" i="4"/>
  <c r="C116" i="4"/>
  <c r="K116" i="4" s="1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103" i="4"/>
  <c r="C103" i="4"/>
  <c r="D102" i="4"/>
  <c r="C102" i="4"/>
  <c r="D101" i="4"/>
  <c r="C101" i="4"/>
  <c r="D100" i="4"/>
  <c r="C100" i="4"/>
  <c r="I93" i="4"/>
  <c r="H93" i="4"/>
  <c r="G93" i="4"/>
  <c r="F93" i="4"/>
  <c r="E93" i="4"/>
  <c r="D93" i="4"/>
  <c r="C93" i="4"/>
  <c r="I92" i="4"/>
  <c r="H92" i="4"/>
  <c r="G92" i="4"/>
  <c r="F92" i="4"/>
  <c r="E92" i="4"/>
  <c r="D92" i="4"/>
  <c r="C92" i="4"/>
  <c r="G88" i="4"/>
  <c r="F88" i="4"/>
  <c r="E88" i="4"/>
  <c r="D88" i="4"/>
  <c r="C88" i="4"/>
  <c r="G87" i="4"/>
  <c r="F87" i="4"/>
  <c r="E87" i="4"/>
  <c r="D87" i="4"/>
  <c r="C87" i="4"/>
  <c r="G83" i="4"/>
  <c r="F83" i="4"/>
  <c r="E83" i="4"/>
  <c r="D83" i="4"/>
  <c r="C83" i="4"/>
  <c r="G82" i="4"/>
  <c r="F82" i="4"/>
  <c r="E82" i="4"/>
  <c r="D82" i="4"/>
  <c r="C82" i="4"/>
  <c r="I74" i="4"/>
  <c r="H74" i="4"/>
  <c r="G74" i="4"/>
  <c r="F74" i="4"/>
  <c r="E74" i="4"/>
  <c r="D74" i="4"/>
  <c r="C74" i="4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8" i="4"/>
  <c r="H68" i="4"/>
  <c r="G68" i="4"/>
  <c r="F68" i="4"/>
  <c r="E68" i="4"/>
  <c r="D68" i="4"/>
  <c r="C68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56" i="4"/>
  <c r="H56" i="4"/>
  <c r="G56" i="4"/>
  <c r="F56" i="4"/>
  <c r="E56" i="4"/>
  <c r="D56" i="4"/>
  <c r="C56" i="4"/>
  <c r="D53" i="4"/>
  <c r="C53" i="4"/>
  <c r="D52" i="4"/>
  <c r="C52" i="4"/>
  <c r="D51" i="4"/>
  <c r="C51" i="4"/>
  <c r="D50" i="4"/>
  <c r="C50" i="4"/>
  <c r="D49" i="4"/>
  <c r="C49" i="4"/>
  <c r="D48" i="4"/>
  <c r="D26" i="4" s="1"/>
  <c r="C48" i="4"/>
  <c r="D47" i="4"/>
  <c r="C47" i="4"/>
  <c r="K47" i="4" s="1"/>
  <c r="D46" i="4"/>
  <c r="C46" i="4"/>
  <c r="D45" i="4"/>
  <c r="J45" i="4" s="1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K14" i="4" s="1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K9" i="4" s="1"/>
  <c r="I8" i="4"/>
  <c r="H8" i="4"/>
  <c r="G8" i="4"/>
  <c r="F8" i="4"/>
  <c r="E8" i="4"/>
  <c r="D8" i="4"/>
  <c r="C8" i="4"/>
  <c r="I6" i="4"/>
  <c r="H6" i="4"/>
  <c r="G6" i="4"/>
  <c r="F6" i="4"/>
  <c r="E6" i="4"/>
  <c r="D6" i="4"/>
  <c r="C6" i="4"/>
  <c r="K111" i="4"/>
  <c r="D131" i="4"/>
  <c r="B1" i="4" s="1"/>
  <c r="J75" i="4"/>
  <c r="J67" i="4"/>
  <c r="J73" i="4"/>
  <c r="J74" i="4"/>
  <c r="J72" i="4"/>
  <c r="J66" i="4"/>
  <c r="J69" i="4"/>
  <c r="J71" i="4"/>
  <c r="J68" i="4"/>
  <c r="J70" i="4"/>
  <c r="D69" i="4"/>
  <c r="D75" i="4"/>
  <c r="J93" i="4"/>
  <c r="J92" i="4"/>
  <c r="D94" i="4"/>
  <c r="K94" i="4" s="1"/>
  <c r="J94" i="4"/>
  <c r="E69" i="4"/>
  <c r="E75" i="4" s="1"/>
  <c r="E94" i="4"/>
  <c r="F69" i="4"/>
  <c r="F75" i="4" s="1"/>
  <c r="F94" i="4"/>
  <c r="D27" i="4"/>
  <c r="K68" i="4"/>
  <c r="K100" i="4"/>
  <c r="K15" i="4"/>
  <c r="K29" i="4"/>
  <c r="K103" i="4"/>
  <c r="K32" i="4"/>
  <c r="K70" i="4"/>
  <c r="K104" i="4"/>
  <c r="K11" i="4"/>
  <c r="K33" i="4"/>
  <c r="K51" i="4"/>
  <c r="F7" i="4"/>
  <c r="F55" i="4"/>
  <c r="F57" i="4"/>
  <c r="K110" i="4"/>
  <c r="H7" i="4"/>
  <c r="H55" i="4"/>
  <c r="H57" i="4"/>
  <c r="K18" i="4"/>
  <c r="K66" i="4"/>
  <c r="C69" i="4"/>
  <c r="C75" i="4" s="1"/>
  <c r="K75" i="4" s="1"/>
  <c r="K92" i="4"/>
  <c r="C94" i="4"/>
  <c r="I7" i="4"/>
  <c r="I55" i="4"/>
  <c r="I57" i="4"/>
  <c r="K40" i="4"/>
  <c r="J115" i="4"/>
  <c r="J112" i="4"/>
  <c r="J116" i="4"/>
  <c r="J114" i="4"/>
  <c r="J111" i="4"/>
  <c r="J113" i="4"/>
  <c r="K8" i="4"/>
  <c r="K112" i="4"/>
  <c r="K41" i="4"/>
  <c r="K20" i="4"/>
  <c r="J101" i="4"/>
  <c r="J107" i="4"/>
  <c r="J102" i="4"/>
  <c r="J100" i="4"/>
  <c r="J106" i="4"/>
  <c r="J104" i="4"/>
  <c r="J103" i="4"/>
  <c r="J110" i="4"/>
  <c r="J105" i="4"/>
  <c r="K21" i="4"/>
  <c r="K50" i="4"/>
  <c r="K16" i="4"/>
  <c r="G7" i="4"/>
  <c r="G55" i="4"/>
  <c r="G57" i="4"/>
  <c r="K23" i="4"/>
  <c r="K39" i="4"/>
  <c r="K72" i="4"/>
  <c r="K105" i="4"/>
  <c r="K52" i="4"/>
  <c r="K115" i="4"/>
  <c r="K34" i="4"/>
  <c r="K106" i="4"/>
  <c r="K35" i="4"/>
  <c r="K45" i="4"/>
  <c r="K53" i="4"/>
  <c r="J17" i="4"/>
  <c r="J42" i="4"/>
  <c r="J41" i="4"/>
  <c r="J8" i="4"/>
  <c r="J24" i="4"/>
  <c r="J51" i="4"/>
  <c r="J49" i="4"/>
  <c r="J44" i="4"/>
  <c r="J31" i="4"/>
  <c r="J6" i="4"/>
  <c r="J19" i="4"/>
  <c r="J15" i="4"/>
  <c r="J10" i="4"/>
  <c r="J32" i="4"/>
  <c r="J40" i="4"/>
  <c r="J27" i="4"/>
  <c r="J29" i="4"/>
  <c r="J46" i="4"/>
  <c r="J39" i="4"/>
  <c r="J50" i="4"/>
  <c r="J47" i="4"/>
  <c r="J53" i="4"/>
  <c r="J23" i="4"/>
  <c r="J36" i="4"/>
  <c r="D55" i="4"/>
  <c r="K55" i="4" s="1"/>
  <c r="D57" i="4"/>
  <c r="D77" i="4" s="1"/>
  <c r="J57" i="4"/>
  <c r="J33" i="4"/>
  <c r="J38" i="4"/>
  <c r="J11" i="4"/>
  <c r="J56" i="4"/>
  <c r="J20" i="4"/>
  <c r="J37" i="4"/>
  <c r="J30" i="4"/>
  <c r="J21" i="4"/>
  <c r="J16" i="4"/>
  <c r="J14" i="4"/>
  <c r="J35" i="4"/>
  <c r="J12" i="4"/>
  <c r="J52" i="4"/>
  <c r="J34" i="4"/>
  <c r="J28" i="4"/>
  <c r="J48" i="4"/>
  <c r="J18" i="4"/>
  <c r="J43" i="4"/>
  <c r="J9" i="4"/>
  <c r="J22" i="4"/>
  <c r="D76" i="4"/>
  <c r="K44" i="4"/>
  <c r="E55" i="4"/>
  <c r="E57" i="4" s="1"/>
  <c r="E7" i="4"/>
  <c r="C27" i="4"/>
  <c r="K27" i="4" s="1"/>
  <c r="K28" i="4"/>
  <c r="K38" i="4"/>
  <c r="K46" i="4"/>
  <c r="K74" i="4"/>
  <c r="G94" i="4"/>
  <c r="K107" i="4"/>
  <c r="K17" i="4"/>
  <c r="K36" i="4"/>
  <c r="H69" i="4"/>
  <c r="H75" i="4"/>
  <c r="K12" i="4"/>
  <c r="K24" i="4"/>
  <c r="I69" i="4"/>
  <c r="I75" i="4" s="1"/>
  <c r="K73" i="4"/>
  <c r="I94" i="4"/>
  <c r="K102" i="4"/>
  <c r="K114" i="4"/>
  <c r="K10" i="4"/>
  <c r="G69" i="4"/>
  <c r="G75" i="4"/>
  <c r="K71" i="4"/>
  <c r="K101" i="4"/>
  <c r="K113" i="4"/>
  <c r="K30" i="4"/>
  <c r="K42" i="4"/>
  <c r="K56" i="4"/>
  <c r="H94" i="4"/>
  <c r="K6" i="4"/>
  <c r="C76" i="4"/>
  <c r="C55" i="4"/>
  <c r="C57" i="4" s="1"/>
  <c r="K19" i="4"/>
  <c r="K31" i="4"/>
  <c r="K37" i="4"/>
  <c r="K43" i="4"/>
  <c r="K49" i="4"/>
  <c r="K67" i="4"/>
  <c r="K93" i="4"/>
  <c r="J55" i="4"/>
  <c r="B95" i="4"/>
  <c r="B59" i="4"/>
  <c r="K69" i="4" l="1"/>
  <c r="J26" i="4"/>
  <c r="D7" i="4"/>
  <c r="L8" i="4" s="1"/>
  <c r="K48" i="4"/>
  <c r="C26" i="4"/>
  <c r="K26" i="4" s="1"/>
  <c r="L24" i="4"/>
  <c r="L11" i="4"/>
  <c r="L20" i="4"/>
  <c r="L16" i="4"/>
  <c r="L18" i="4"/>
  <c r="L12" i="4"/>
  <c r="L7" i="4"/>
  <c r="E25" i="4"/>
  <c r="K22" i="4"/>
  <c r="H25" i="4"/>
  <c r="G25" i="4"/>
  <c r="J13" i="4"/>
  <c r="D25" i="4"/>
  <c r="K13" i="4"/>
  <c r="I25" i="4"/>
  <c r="F25" i="4"/>
  <c r="L9" i="4"/>
  <c r="L17" i="4"/>
  <c r="L21" i="4"/>
  <c r="L23" i="4"/>
  <c r="K57" i="4"/>
  <c r="C77" i="4"/>
  <c r="L15" i="4" l="1"/>
  <c r="L14" i="4"/>
  <c r="L19" i="4"/>
  <c r="L10" i="4"/>
  <c r="J7" i="4"/>
  <c r="L22" i="4"/>
  <c r="L13" i="4"/>
  <c r="C7" i="4"/>
  <c r="K7" i="4" s="1"/>
  <c r="L25" i="4"/>
  <c r="J25" i="4"/>
  <c r="C25" i="4" l="1"/>
  <c r="K25" i="4" s="1"/>
</calcChain>
</file>

<file path=xl/sharedStrings.xml><?xml version="1.0" encoding="utf-8"?>
<sst xmlns="http://schemas.openxmlformats.org/spreadsheetml/2006/main" count="384" uniqueCount="125">
  <si>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</si>
  <si>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</si>
  <si>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</si>
  <si>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</si>
  <si>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</si>
  <si>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</si>
  <si>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</si>
  <si>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</si>
  <si>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</si>
  <si>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</si>
  <si>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</si>
  <si>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</si>
  <si>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</si>
  <si>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</si>
  <si>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</si>
  <si>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</si>
  <si>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</si>
  <si>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</si>
  <si>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</si>
  <si>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podatek od środków transportowych</t>
  </si>
  <si>
    <t>dochody z majątku</t>
  </si>
  <si>
    <t xml:space="preserve">pozostałe dochody </t>
  </si>
  <si>
    <t>Struktura</t>
  </si>
  <si>
    <t>Wskaźnik</t>
  </si>
  <si>
    <t>podatek od czynności cywilnoprawnych</t>
  </si>
  <si>
    <t>wpływy z opłaty eksploatacyjnej</t>
  </si>
  <si>
    <t>wpływy z opłaty targowej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</si>
  <si>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</si>
  <si>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</si>
  <si>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</si>
  <si>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</si>
  <si>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</si>
  <si>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</si>
  <si>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</si>
  <si>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</si>
  <si>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część rekompensująca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</si>
  <si>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</si>
  <si>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</si>
  <si>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</si>
  <si>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</si>
  <si>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</si>
  <si>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</si>
  <si>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</si>
  <si>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</si>
  <si>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</si>
  <si>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#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</si>
  <si>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</si>
  <si>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</si>
  <si>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</si>
  <si>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</si>
  <si>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</si>
  <si>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</si>
  <si>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</si>
  <si>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</si>
  <si>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</si>
  <si>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</si>
  <si>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</si>
  <si>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</si>
  <si>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</si>
  <si>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</si>
  <si>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</si>
  <si>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</si>
  <si>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</si>
  <si>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</si>
  <si>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</si>
  <si>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</si>
  <si>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</si>
  <si>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</si>
  <si>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</si>
  <si>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</si>
  <si>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</si>
  <si>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wykup papierów wartościowych</t>
  </si>
  <si>
    <t>udzielone pożyczki</t>
  </si>
  <si>
    <t>Dotacje §§ 200 i 620</t>
  </si>
  <si>
    <t>w tym: inwestycyjne § 620</t>
  </si>
  <si>
    <t>Dotacje §§ 205 i 625</t>
  </si>
  <si>
    <t>w tym: inwestycyjne § 625</t>
  </si>
  <si>
    <t>wolne środki, o których mowa w art. 217 ust. 2 pkt 6 ustawy o finansach publicznych</t>
  </si>
  <si>
    <t>na finansowanie lub dofinansowanie zadań inwestycyjnych obiektów zabytkowych oraz prac remontowych i konserwatorskich przy zabytkach</t>
  </si>
  <si>
    <t>w tym: inwestycyjne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</si>
  <si>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</si>
  <si>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</si>
  <si>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</si>
  <si>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nadwyżka z lat ubiegłych, pomniejszona o niewykorzystane środki pieniężne, o których mowa w art. 217 ust. 2 pkt 8 ustawy o finansach publicznych</t>
  </si>
  <si>
    <t>Dotacje ogółem 
z tego:</t>
  </si>
  <si>
    <t>spłaty kredytów i pożyczek, wykup papierów wartościowych 
w tym: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</si>
  <si>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</si>
  <si>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Wydatki ogółem UE 
z tego:</t>
  </si>
  <si>
    <t>kredyty, pożyczki, emisja papierów wartościowych
w tym: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</si>
  <si>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</si>
  <si>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</si>
  <si>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</si>
  <si>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tytuł</t>
  </si>
  <si>
    <t>inne źródła, w tym:</t>
  </si>
  <si>
    <t>środki z lokat dokonanych w latach ubiegłych</t>
  </si>
  <si>
    <t>lokaty na okres wykraczający poza rok budżetowy</t>
  </si>
  <si>
    <t>FINANSOWANIE DEFICYTU (E1+E2+E3+E4+E5+E6+E7+E8)  
z tego:</t>
  </si>
  <si>
    <t>inne cele, w tym:</t>
  </si>
  <si>
    <t>niewykorzystane środki pieniężne o których mowa w art. 217 ust. 2 pkt 8 ustawy o finansach publicznych</t>
  </si>
  <si>
    <t>stan niespłaconych na koniec okresu sprawozdawczego zobowiązań przeznaczonych na cel , o którym mowa w art.. 89 ust. 1 pkt 1 ustawy o finansach publicznych</t>
  </si>
  <si>
    <t>podatek dochodowy od osób fizycznych</t>
  </si>
  <si>
    <t>podatek dochodowy od osób prawnych</t>
  </si>
  <si>
    <t>Subwencja ogólna, w tym: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</si>
  <si>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</si>
  <si>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</si>
  <si>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</si>
  <si>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</si>
  <si>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</si>
  <si>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podatek od nieruchomości</t>
  </si>
  <si>
    <t>podatek rolny</t>
  </si>
  <si>
    <t>podatek leśny       </t>
  </si>
  <si>
    <t>podatek od dział. gosp. osób fizycznych, opłacany w formie karty podatkowej</t>
  </si>
  <si>
    <t>wpływy z opłaty skarbowej       </t>
  </si>
  <si>
    <t>podatek od spadków i darowizn       </t>
  </si>
  <si>
    <t>opłata miejscowa</t>
  </si>
  <si>
    <t>opłata uzdrowiskowa</t>
  </si>
  <si>
    <t>opłata od posiadania psów</t>
  </si>
  <si>
    <t>opłata reklamowa</t>
  </si>
  <si>
    <t>Planowany</t>
  </si>
  <si>
    <t>Wynik budżetu</t>
  </si>
  <si>
    <t>Wykonany</t>
  </si>
  <si>
    <t>Wynik operacyjny (Db-Wb)</t>
  </si>
  <si>
    <t>Dochody bieżące 
minus  wydatki bieżące (Db-Wb)</t>
  </si>
  <si>
    <t>zrównoważony</t>
  </si>
  <si>
    <t>otrzymane ze środków z Funduszu Przeciwdziałania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</si>
</sst>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7" fillId="0" borderId="0"/>
    <xf numFmtId="0" fontId="17" fillId="0" borderId="0"/>
  </cellStyleXfs>
  <cellXfs count="140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 indent="2"/>
    </xf>
    <xf numFmtId="0" fontId="2" fillId="0" borderId="1" xfId="0" applyFont="1" applyBorder="1"/>
    <xf numFmtId="165" fontId="12" fillId="3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165" fontId="11" fillId="3" borderId="1" xfId="0" applyNumberFormat="1" applyFont="1" applyFill="1" applyBorder="1" applyAlignment="1">
      <alignment horizontal="right" vertical="center"/>
    </xf>
    <xf numFmtId="165" fontId="11" fillId="3" borderId="1" xfId="1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/>
    </xf>
    <xf numFmtId="4" fontId="11" fillId="3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 vertical="center"/>
    </xf>
    <xf numFmtId="165" fontId="12" fillId="4" borderId="1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4" fontId="11" fillId="4" borderId="3" xfId="0" applyNumberFormat="1" applyFont="1" applyFill="1" applyBorder="1" applyAlignment="1">
      <alignment horizontal="right" vertical="center"/>
    </xf>
    <xf numFmtId="165" fontId="11" fillId="5" borderId="1" xfId="1" applyNumberFormat="1" applyFont="1" applyFill="1" applyBorder="1" applyAlignment="1">
      <alignment horizontal="right" vertical="center"/>
    </xf>
    <xf numFmtId="165" fontId="11" fillId="5" borderId="1" xfId="0" applyNumberFormat="1" applyFont="1" applyFill="1" applyBorder="1" applyAlignment="1">
      <alignment horizontal="right" vertical="center"/>
    </xf>
    <xf numFmtId="165" fontId="11" fillId="4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indent="2"/>
    </xf>
    <xf numFmtId="165" fontId="4" fillId="4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165" fontId="6" fillId="4" borderId="1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165" fontId="11" fillId="0" borderId="1" xfId="1" applyNumberFormat="1" applyFont="1" applyFill="1" applyBorder="1" applyAlignment="1">
      <alignment horizontal="right" vertical="center"/>
    </xf>
    <xf numFmtId="0" fontId="6" fillId="0" borderId="1" xfId="0" applyFont="1" applyBorder="1"/>
    <xf numFmtId="4" fontId="4" fillId="0" borderId="1" xfId="0" applyNumberFormat="1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4" fontId="4" fillId="0" borderId="3" xfId="0" applyNumberFormat="1" applyFont="1" applyFill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165" fontId="5" fillId="4" borderId="3" xfId="0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right" vertical="center" wrapText="1" inden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2" fillId="0" borderId="4" xfId="0" applyFont="1" applyBorder="1"/>
    <xf numFmtId="0" fontId="7" fillId="4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4"/>
    </xf>
    <xf numFmtId="0" fontId="4" fillId="5" borderId="1" xfId="0" applyFont="1" applyFill="1" applyBorder="1" applyAlignment="1">
      <alignment horizontal="left" vertical="center" wrapText="1" indent="3"/>
    </xf>
    <xf numFmtId="0" fontId="18" fillId="0" borderId="1" xfId="4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1"/>
    </xf>
    <xf numFmtId="0" fontId="18" fillId="4" borderId="1" xfId="3" applyFont="1" applyFill="1" applyBorder="1" applyAlignment="1">
      <alignment horizontal="left" vertical="center" wrapText="1"/>
    </xf>
    <xf numFmtId="0" fontId="18" fillId="0" borderId="1" xfId="3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vertical="center" wrapText="1"/>
    </xf>
    <xf numFmtId="0" fontId="6" fillId="0" borderId="0" xfId="0" applyFont="1"/>
    <xf numFmtId="0" fontId="15" fillId="0" borderId="1" xfId="0" applyFont="1" applyBorder="1" applyAlignment="1">
      <alignment horizontal="right" vertical="center" wrapText="1"/>
    </xf>
    <xf numFmtId="167" fontId="15" fillId="0" borderId="1" xfId="0" applyNumberFormat="1" applyFont="1" applyBorder="1" applyAlignment="1">
      <alignment vertical="center" wrapText="1"/>
    </xf>
    <xf numFmtId="166" fontId="2" fillId="0" borderId="3" xfId="0" applyNumberFormat="1" applyFont="1" applyBorder="1" applyAlignment="1">
      <alignment horizontal="center"/>
    </xf>
    <xf numFmtId="166" fontId="2" fillId="0" borderId="8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</cellXfs>
  <cellStyles count="5">
    <cellStyle name="Dziesiętny" xfId="1" builtinId="3"/>
    <cellStyle name="Dziesiętny 3" xfId="2" xr:uid="{00000000-0005-0000-0000-000001000000}"/>
    <cellStyle name="Normalny" xfId="0" builtinId="0"/>
    <cellStyle name="Normalny 2" xfId="3" xr:uid="{00000000-0005-0000-0000-000003000000}"/>
    <cellStyle name="Normalny 2 2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34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3.7109375" style="1" hidden="1" customWidth="1"/>
    <col min="2" max="2" width="30.7109375" style="1" customWidth="1"/>
    <col min="3" max="3" width="14.5703125" style="1" customWidth="1"/>
    <col min="4" max="4" width="15" style="1" customWidth="1"/>
    <col min="5" max="5" width="14.5703125" style="1" customWidth="1" outlineLevel="1"/>
    <col min="6" max="6" width="15" style="1" customWidth="1" outlineLevel="1"/>
    <col min="7" max="7" width="13" style="1" customWidth="1" outlineLevel="1"/>
    <col min="8" max="8" width="11.85546875" style="1" customWidth="1" outlineLevel="1"/>
    <col min="9" max="9" width="13" style="1" customWidth="1" outlineLevel="1"/>
    <col min="10" max="10" width="7.7109375" style="1" bestFit="1" customWidth="1"/>
    <col min="11" max="11" width="7.5703125" style="1" bestFit="1" customWidth="1"/>
    <col min="12" max="13" width="8.140625" style="1" customWidth="1"/>
    <col min="14" max="16384" width="9.140625" style="1"/>
  </cols>
  <sheetData>
    <row r="1" spans="2:13" ht="15" x14ac:dyDescent="0.2">
      <c r="B1" s="90" t="str">
        <f>CONCATENATE("Informacja z wykonania budżetów gmin za ",$D$131," ",$C$132," rok     ",$C$134,"")</f>
        <v xml:space="preserve">Informacja z wykonania budżetów gmin za I Kwartał 2026 rok     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2:13" ht="0.75" customHeight="1" x14ac:dyDescent="0.2"/>
    <row r="3" spans="2:13" ht="69" customHeight="1" x14ac:dyDescent="0.2">
      <c r="B3" s="130" t="s">
        <v>0</v>
      </c>
      <c r="C3" s="15" t="s">
        <v>28</v>
      </c>
      <c r="D3" s="15" t="s">
        <v>29</v>
      </c>
      <c r="E3" s="15" t="s">
        <v>30</v>
      </c>
      <c r="F3" s="15" t="s">
        <v>31</v>
      </c>
      <c r="G3" s="15" t="s">
        <v>32</v>
      </c>
      <c r="H3" s="15" t="s">
        <v>33</v>
      </c>
      <c r="I3" s="15" t="s">
        <v>34</v>
      </c>
      <c r="J3" s="17" t="s">
        <v>2</v>
      </c>
      <c r="K3" s="15" t="s">
        <v>18</v>
      </c>
      <c r="L3" s="15" t="s">
        <v>3</v>
      </c>
    </row>
    <row r="4" spans="2:13" x14ac:dyDescent="0.2">
      <c r="B4" s="130"/>
      <c r="C4" s="127" t="s">
        <v>61</v>
      </c>
      <c r="D4" s="128"/>
      <c r="E4" s="128"/>
      <c r="F4" s="128"/>
      <c r="G4" s="128"/>
      <c r="H4" s="128"/>
      <c r="I4" s="129"/>
      <c r="J4" s="132" t="s">
        <v>4</v>
      </c>
      <c r="K4" s="132"/>
      <c r="L4" s="132"/>
    </row>
    <row r="5" spans="2:13" x14ac:dyDescent="0.2">
      <c r="B5" s="17">
        <v>1</v>
      </c>
      <c r="C5" s="19">
        <v>2</v>
      </c>
      <c r="D5" s="19">
        <v>3</v>
      </c>
      <c r="E5" s="19">
        <v>4</v>
      </c>
      <c r="F5" s="19">
        <v>5</v>
      </c>
      <c r="G5" s="19">
        <v>6</v>
      </c>
      <c r="H5" s="19">
        <v>7</v>
      </c>
      <c r="I5" s="19">
        <v>8</v>
      </c>
      <c r="J5" s="19">
        <v>9</v>
      </c>
      <c r="K5" s="19">
        <v>10</v>
      </c>
      <c r="L5" s="19">
        <v>11</v>
      </c>
    </row>
    <row r="6" spans="2:13" x14ac:dyDescent="0.2">
      <c r="B6" s="83" t="s">
        <v>5</v>
      </c>
      <c r="C6" s="45">
        <f>223162457634.87</f>
        <v>223162457634.87</v>
      </c>
      <c r="D6" s="45">
        <f>69806010319.78</f>
        <v>69806010319.779999</v>
      </c>
      <c r="E6" s="45">
        <f>1440212666.77</f>
        <v>1440212666.77</v>
      </c>
      <c r="F6" s="45">
        <f>222587115.02</f>
        <v>222587115.02000001</v>
      </c>
      <c r="G6" s="45">
        <f>24989028.25</f>
        <v>24989028.25</v>
      </c>
      <c r="H6" s="45">
        <f>70402978.73</f>
        <v>70402978.730000004</v>
      </c>
      <c r="I6" s="45">
        <f>145246.79</f>
        <v>145246.79</v>
      </c>
      <c r="J6" s="46">
        <f t="shared" ref="J6:J57" si="0">IF($D$6=0,"",100*$D6/$D$6)</f>
        <v>100</v>
      </c>
      <c r="K6" s="46">
        <f t="shared" ref="K6:K53" si="1">IF(C6=0,"",100*D6/C6)</f>
        <v>31.280355602640817</v>
      </c>
      <c r="L6" s="46"/>
    </row>
    <row r="7" spans="2:13" ht="25.5" customHeight="1" x14ac:dyDescent="0.2">
      <c r="B7" s="84" t="s">
        <v>46</v>
      </c>
      <c r="C7" s="25">
        <f>C6-C26-C50</f>
        <v>152235293625.93997</v>
      </c>
      <c r="D7" s="25">
        <f>D6-D26-D50</f>
        <v>51885899518.099998</v>
      </c>
      <c r="E7" s="25">
        <f>E6</f>
        <v>1440212666.77</v>
      </c>
      <c r="F7" s="25">
        <f>F6</f>
        <v>222587115.02000001</v>
      </c>
      <c r="G7" s="25">
        <f>G6</f>
        <v>24989028.25</v>
      </c>
      <c r="H7" s="25">
        <f>H6</f>
        <v>70402978.730000004</v>
      </c>
      <c r="I7" s="25">
        <f>I6</f>
        <v>145246.79</v>
      </c>
      <c r="J7" s="34">
        <f t="shared" si="0"/>
        <v>74.328699320318819</v>
      </c>
      <c r="K7" s="34">
        <f t="shared" si="1"/>
        <v>34.082700720891808</v>
      </c>
      <c r="L7" s="34">
        <f t="shared" ref="L7:L25" si="2">IF($D$7=0,"",100*$D7/$D$7)</f>
        <v>100</v>
      </c>
    </row>
    <row r="8" spans="2:13" ht="22.5" customHeight="1" outlineLevel="1" x14ac:dyDescent="0.2">
      <c r="B8" s="54" t="s">
        <v>100</v>
      </c>
      <c r="C8" s="24">
        <f>88137632901.14</f>
        <v>88137632901.139999</v>
      </c>
      <c r="D8" s="24">
        <f>33907785114</f>
        <v>33907785114</v>
      </c>
      <c r="E8" s="24">
        <f>0</f>
        <v>0</v>
      </c>
      <c r="F8" s="24">
        <f>0</f>
        <v>0</v>
      </c>
      <c r="G8" s="24">
        <f>0</f>
        <v>0</v>
      </c>
      <c r="H8" s="24">
        <f>0</f>
        <v>0</v>
      </c>
      <c r="I8" s="24">
        <f>0</f>
        <v>0</v>
      </c>
      <c r="J8" s="35">
        <f t="shared" si="0"/>
        <v>48.574306078615699</v>
      </c>
      <c r="K8" s="35">
        <f t="shared" si="1"/>
        <v>38.471404322864934</v>
      </c>
      <c r="L8" s="35">
        <f t="shared" si="2"/>
        <v>65.35067413097758</v>
      </c>
    </row>
    <row r="9" spans="2:13" ht="22.5" customHeight="1" outlineLevel="1" x14ac:dyDescent="0.2">
      <c r="B9" s="54" t="s">
        <v>101</v>
      </c>
      <c r="C9" s="24">
        <f>3176025561.81</f>
        <v>3176025561.8099999</v>
      </c>
      <c r="D9" s="24">
        <f>793997055</f>
        <v>793997055</v>
      </c>
      <c r="E9" s="24">
        <f>0</f>
        <v>0</v>
      </c>
      <c r="F9" s="24">
        <f>0</f>
        <v>0</v>
      </c>
      <c r="G9" s="24">
        <f>0</f>
        <v>0</v>
      </c>
      <c r="H9" s="24">
        <f>0</f>
        <v>0</v>
      </c>
      <c r="I9" s="24">
        <f>0</f>
        <v>0</v>
      </c>
      <c r="J9" s="35">
        <f t="shared" si="0"/>
        <v>1.1374336555874125</v>
      </c>
      <c r="K9" s="35">
        <f t="shared" si="1"/>
        <v>24.99970606494443</v>
      </c>
      <c r="L9" s="35">
        <f t="shared" si="2"/>
        <v>1.5302752045823551</v>
      </c>
    </row>
    <row r="10" spans="2:13" ht="13.35" customHeight="1" outlineLevel="1" x14ac:dyDescent="0.2">
      <c r="B10" s="54" t="s">
        <v>108</v>
      </c>
      <c r="C10" s="24">
        <f>24726841664.78</f>
        <v>24726841664.779999</v>
      </c>
      <c r="D10" s="24">
        <f>7572282584.51</f>
        <v>7572282584.5100002</v>
      </c>
      <c r="E10" s="24">
        <f>914941926.93</f>
        <v>914941926.92999995</v>
      </c>
      <c r="F10" s="24">
        <f>220128665.38</f>
        <v>220128665.38</v>
      </c>
      <c r="G10" s="24">
        <f>18273256.53</f>
        <v>18273256.530000001</v>
      </c>
      <c r="H10" s="24">
        <f>51105561.11</f>
        <v>51105561.109999999</v>
      </c>
      <c r="I10" s="24">
        <f>108920.48</f>
        <v>108920.48</v>
      </c>
      <c r="J10" s="35">
        <f t="shared" si="0"/>
        <v>10.847608321721179</v>
      </c>
      <c r="K10" s="35">
        <f t="shared" si="1"/>
        <v>30.62373548214077</v>
      </c>
      <c r="L10" s="35">
        <f t="shared" si="2"/>
        <v>14.594104862475145</v>
      </c>
    </row>
    <row r="11" spans="2:13" ht="13.35" customHeight="1" outlineLevel="1" x14ac:dyDescent="0.2">
      <c r="B11" s="54" t="s">
        <v>109</v>
      </c>
      <c r="C11" s="24">
        <f>1971494482.08</f>
        <v>1971494482.0799999</v>
      </c>
      <c r="D11" s="53">
        <f>823357135.3</f>
        <v>823357135.29999995</v>
      </c>
      <c r="E11" s="24">
        <f>26912080.87</f>
        <v>26912080.870000001</v>
      </c>
      <c r="F11" s="24">
        <f>1476620.84</f>
        <v>1476620.84</v>
      </c>
      <c r="G11" s="24">
        <f>345821.07</f>
        <v>345821.07</v>
      </c>
      <c r="H11" s="24">
        <f>640787.44</f>
        <v>640787.43999999994</v>
      </c>
      <c r="I11" s="24">
        <f>2501.52</f>
        <v>2501.52</v>
      </c>
      <c r="J11" s="35">
        <f t="shared" si="0"/>
        <v>1.1794931862288314</v>
      </c>
      <c r="K11" s="35">
        <f t="shared" si="1"/>
        <v>41.763096107239804</v>
      </c>
      <c r="L11" s="35">
        <f t="shared" si="2"/>
        <v>1.5868610604173454</v>
      </c>
    </row>
    <row r="12" spans="2:13" ht="13.35" customHeight="1" outlineLevel="1" x14ac:dyDescent="0.2">
      <c r="B12" s="54" t="s">
        <v>110</v>
      </c>
      <c r="C12" s="24">
        <f>438854702.03</f>
        <v>438854702.02999997</v>
      </c>
      <c r="D12" s="53">
        <f>143205398.32</f>
        <v>143205398.31999999</v>
      </c>
      <c r="E12" s="24">
        <f>883218.28</f>
        <v>883218.28</v>
      </c>
      <c r="F12" s="24">
        <f>307627.93</f>
        <v>307627.93</v>
      </c>
      <c r="G12" s="24">
        <f>27378.36</f>
        <v>27378.36</v>
      </c>
      <c r="H12" s="24">
        <f>17190.29</f>
        <v>17190.29</v>
      </c>
      <c r="I12" s="24">
        <f>0</f>
        <v>0</v>
      </c>
      <c r="J12" s="35">
        <f t="shared" si="0"/>
        <v>0.205147662305837</v>
      </c>
      <c r="K12" s="35">
        <f t="shared" si="1"/>
        <v>32.63161990918136</v>
      </c>
      <c r="L12" s="35">
        <f t="shared" si="2"/>
        <v>0.27600060835419049</v>
      </c>
    </row>
    <row r="13" spans="2:13" ht="13.35" customHeight="1" outlineLevel="1" x14ac:dyDescent="0.2">
      <c r="B13" s="54" t="s">
        <v>19</v>
      </c>
      <c r="C13" s="24">
        <f>1144335972.65</f>
        <v>1144335972.6500001</v>
      </c>
      <c r="D13" s="53">
        <f>519516014.31</f>
        <v>519516014.31</v>
      </c>
      <c r="E13" s="24">
        <f>490638352.73</f>
        <v>490638352.73000002</v>
      </c>
      <c r="F13" s="24">
        <f>662282.87</f>
        <v>662282.87</v>
      </c>
      <c r="G13" s="24">
        <f>586278.23</f>
        <v>586278.23</v>
      </c>
      <c r="H13" s="24">
        <f>4936592.01</f>
        <v>4936592.01</v>
      </c>
      <c r="I13" s="24">
        <f>24197</f>
        <v>24197</v>
      </c>
      <c r="J13" s="35">
        <f t="shared" si="0"/>
        <v>0.74422820030840764</v>
      </c>
      <c r="K13" s="35">
        <f t="shared" si="1"/>
        <v>45.398906154014277</v>
      </c>
      <c r="L13" s="35">
        <f t="shared" si="2"/>
        <v>1.0012662768403404</v>
      </c>
    </row>
    <row r="14" spans="2:13" ht="22.5" outlineLevel="1" x14ac:dyDescent="0.2">
      <c r="B14" s="54" t="s">
        <v>24</v>
      </c>
      <c r="C14" s="24">
        <f>1837691683.18</f>
        <v>1837691683.1800001</v>
      </c>
      <c r="D14" s="53">
        <f>528586551.83</f>
        <v>528586551.82999998</v>
      </c>
      <c r="E14" s="24">
        <f>0</f>
        <v>0</v>
      </c>
      <c r="F14" s="24">
        <f>0</f>
        <v>0</v>
      </c>
      <c r="G14" s="24">
        <f>28995.42</f>
        <v>28995.42</v>
      </c>
      <c r="H14" s="24">
        <f>255771.45</f>
        <v>255771.45</v>
      </c>
      <c r="I14" s="24">
        <f>0</f>
        <v>0</v>
      </c>
      <c r="J14" s="35">
        <f t="shared" si="0"/>
        <v>0.75722212085829732</v>
      </c>
      <c r="K14" s="35">
        <f t="shared" si="1"/>
        <v>28.763614520762104</v>
      </c>
      <c r="L14" s="35">
        <f t="shared" si="2"/>
        <v>1.0187479772719497</v>
      </c>
    </row>
    <row r="15" spans="2:13" ht="33.75" outlineLevel="1" x14ac:dyDescent="0.2">
      <c r="B15" s="54" t="s">
        <v>111</v>
      </c>
      <c r="C15" s="24">
        <f>89886180.06</f>
        <v>89886180.060000002</v>
      </c>
      <c r="D15" s="53">
        <f>14277629.4</f>
        <v>14277629.4</v>
      </c>
      <c r="E15" s="24">
        <f>0</f>
        <v>0</v>
      </c>
      <c r="F15" s="24">
        <f>0</f>
        <v>0</v>
      </c>
      <c r="G15" s="24">
        <f>1067.68</f>
        <v>1067.68</v>
      </c>
      <c r="H15" s="24">
        <f>41897.77</f>
        <v>41897.769999999997</v>
      </c>
      <c r="I15" s="24">
        <f>0</f>
        <v>0</v>
      </c>
      <c r="J15" s="35">
        <f t="shared" si="0"/>
        <v>2.0453295260099313E-2</v>
      </c>
      <c r="K15" s="35">
        <f t="shared" si="1"/>
        <v>15.884120774149627</v>
      </c>
      <c r="L15" s="35">
        <f t="shared" si="2"/>
        <v>2.7517359306875575E-2</v>
      </c>
    </row>
    <row r="16" spans="2:13" ht="13.35" customHeight="1" outlineLevel="1" x14ac:dyDescent="0.2">
      <c r="B16" s="54" t="s">
        <v>112</v>
      </c>
      <c r="C16" s="24">
        <f>195799081.78</f>
        <v>195799081.78</v>
      </c>
      <c r="D16" s="53">
        <f>51388086.41</f>
        <v>51388086.409999996</v>
      </c>
      <c r="E16" s="24">
        <f>0</f>
        <v>0</v>
      </c>
      <c r="F16" s="24">
        <f>0</f>
        <v>0</v>
      </c>
      <c r="G16" s="24">
        <f>44</f>
        <v>44</v>
      </c>
      <c r="H16" s="24">
        <f>0</f>
        <v>0</v>
      </c>
      <c r="I16" s="24">
        <f>0</f>
        <v>0</v>
      </c>
      <c r="J16" s="35">
        <f t="shared" si="0"/>
        <v>7.3615561431733686E-2</v>
      </c>
      <c r="K16" s="35">
        <f t="shared" si="1"/>
        <v>26.24531532162122</v>
      </c>
      <c r="L16" s="35">
        <f t="shared" si="2"/>
        <v>9.9040561862233228E-2</v>
      </c>
    </row>
    <row r="17" spans="2:12" ht="13.35" customHeight="1" outlineLevel="1" x14ac:dyDescent="0.2">
      <c r="B17" s="54" t="s">
        <v>25</v>
      </c>
      <c r="C17" s="24">
        <f>509730607.16</f>
        <v>509730607.16000003</v>
      </c>
      <c r="D17" s="53">
        <f>258787863.85</f>
        <v>258787863.84999999</v>
      </c>
      <c r="E17" s="24">
        <f>0</f>
        <v>0</v>
      </c>
      <c r="F17" s="24">
        <f>0</f>
        <v>0</v>
      </c>
      <c r="G17" s="24">
        <f>0</f>
        <v>0</v>
      </c>
      <c r="H17" s="24">
        <f>912235.27</f>
        <v>912235.27</v>
      </c>
      <c r="I17" s="24">
        <f>0</f>
        <v>0</v>
      </c>
      <c r="J17" s="35">
        <f t="shared" si="0"/>
        <v>0.37072432970241065</v>
      </c>
      <c r="K17" s="35">
        <f t="shared" si="1"/>
        <v>50.769535949951056</v>
      </c>
      <c r="L17" s="35">
        <f t="shared" si="2"/>
        <v>0.49876337550960997</v>
      </c>
    </row>
    <row r="18" spans="2:12" ht="13.35" customHeight="1" outlineLevel="1" x14ac:dyDescent="0.2">
      <c r="B18" s="54" t="s">
        <v>113</v>
      </c>
      <c r="C18" s="24">
        <f>226560086.85</f>
        <v>226560086.84999999</v>
      </c>
      <c r="D18" s="53">
        <f>68662162.27</f>
        <v>68662162.269999996</v>
      </c>
      <c r="E18" s="24">
        <f>0</f>
        <v>0</v>
      </c>
      <c r="F18" s="24">
        <f>0</f>
        <v>0</v>
      </c>
      <c r="G18" s="24">
        <f>1145034.14</f>
        <v>1145034.1399999999</v>
      </c>
      <c r="H18" s="24">
        <f>4714770.39</f>
        <v>4714770.3899999997</v>
      </c>
      <c r="I18" s="24">
        <f>0</f>
        <v>0</v>
      </c>
      <c r="J18" s="35">
        <f t="shared" si="0"/>
        <v>9.8361390309315705E-2</v>
      </c>
      <c r="K18" s="35">
        <f t="shared" si="1"/>
        <v>30.306380627166501</v>
      </c>
      <c r="L18" s="35">
        <f t="shared" si="2"/>
        <v>0.13233299009502134</v>
      </c>
    </row>
    <row r="19" spans="2:12" ht="13.35" customHeight="1" outlineLevel="1" x14ac:dyDescent="0.2">
      <c r="B19" s="54" t="s">
        <v>26</v>
      </c>
      <c r="C19" s="24">
        <f>112911858.6</f>
        <v>112911858.59999999</v>
      </c>
      <c r="D19" s="53">
        <f>14726773.35</f>
        <v>14726773.35</v>
      </c>
      <c r="E19" s="24">
        <f>152868.14</f>
        <v>152868.14000000001</v>
      </c>
      <c r="F19" s="24">
        <f>0</f>
        <v>0</v>
      </c>
      <c r="G19" s="24">
        <f>0</f>
        <v>0</v>
      </c>
      <c r="H19" s="24">
        <f>12716</f>
        <v>12716</v>
      </c>
      <c r="I19" s="24">
        <f>0</f>
        <v>0</v>
      </c>
      <c r="J19" s="35">
        <f t="shared" si="0"/>
        <v>2.1096712564630082E-2</v>
      </c>
      <c r="K19" s="35">
        <f t="shared" ref="K19:K25" si="3">IF(C19=0,"",100*D19/C19)</f>
        <v>13.04271626789075</v>
      </c>
      <c r="L19" s="35">
        <f t="shared" si="2"/>
        <v>2.8382997089339616E-2</v>
      </c>
    </row>
    <row r="20" spans="2:12" ht="13.35" customHeight="1" outlineLevel="1" x14ac:dyDescent="0.2">
      <c r="B20" s="54" t="s">
        <v>114</v>
      </c>
      <c r="C20" s="24">
        <f>78050290.71</f>
        <v>78050290.709999993</v>
      </c>
      <c r="D20" s="53">
        <f>12783108.12</f>
        <v>12783108.119999999</v>
      </c>
      <c r="E20" s="24">
        <f>114665.31</f>
        <v>114665.31</v>
      </c>
      <c r="F20" s="24">
        <f>0</f>
        <v>0</v>
      </c>
      <c r="G20" s="24">
        <f>0</f>
        <v>0</v>
      </c>
      <c r="H20" s="24">
        <f>0</f>
        <v>0</v>
      </c>
      <c r="I20" s="24">
        <f>0</f>
        <v>0</v>
      </c>
      <c r="J20" s="35">
        <f t="shared" si="0"/>
        <v>1.8312331648006851E-2</v>
      </c>
      <c r="K20" s="35">
        <f t="shared" si="3"/>
        <v>16.378040368224017</v>
      </c>
      <c r="L20" s="35">
        <f t="shared" si="2"/>
        <v>2.4636959633976684E-2</v>
      </c>
    </row>
    <row r="21" spans="2:12" ht="13.35" customHeight="1" outlineLevel="1" x14ac:dyDescent="0.2">
      <c r="B21" s="54" t="s">
        <v>115</v>
      </c>
      <c r="C21" s="24">
        <f>109860745</f>
        <v>109860745</v>
      </c>
      <c r="D21" s="53">
        <f>21907955.46</f>
        <v>21907955.460000001</v>
      </c>
      <c r="E21" s="24">
        <f>262270.69</f>
        <v>262270.69</v>
      </c>
      <c r="F21" s="24">
        <f>0</f>
        <v>0</v>
      </c>
      <c r="G21" s="24">
        <f>0</f>
        <v>0</v>
      </c>
      <c r="H21" s="24">
        <f>0</f>
        <v>0</v>
      </c>
      <c r="I21" s="24">
        <f>0</f>
        <v>0</v>
      </c>
      <c r="J21" s="35">
        <f t="shared" si="0"/>
        <v>3.1384053263666084E-2</v>
      </c>
      <c r="K21" s="35">
        <f t="shared" si="3"/>
        <v>19.941568264442409</v>
      </c>
      <c r="L21" s="35">
        <f t="shared" si="2"/>
        <v>4.2223331701819251E-2</v>
      </c>
    </row>
    <row r="22" spans="2:12" ht="13.35" customHeight="1" outlineLevel="1" x14ac:dyDescent="0.2">
      <c r="B22" s="54" t="s">
        <v>116</v>
      </c>
      <c r="C22" s="24">
        <f>2695331</f>
        <v>2695331</v>
      </c>
      <c r="D22" s="53">
        <f>1362570.74</f>
        <v>1362570.74</v>
      </c>
      <c r="E22" s="24">
        <f>692131.82</f>
        <v>692131.82</v>
      </c>
      <c r="F22" s="24">
        <f>0</f>
        <v>0</v>
      </c>
      <c r="G22" s="24">
        <f>0</f>
        <v>0</v>
      </c>
      <c r="H22" s="24">
        <f>287.86</f>
        <v>287.86</v>
      </c>
      <c r="I22" s="24">
        <f>0</f>
        <v>0</v>
      </c>
      <c r="J22" s="35">
        <f t="shared" si="0"/>
        <v>1.9519390003211608E-3</v>
      </c>
      <c r="K22" s="35">
        <f t="shared" si="3"/>
        <v>50.553002210118166</v>
      </c>
      <c r="L22" s="35">
        <f t="shared" si="2"/>
        <v>2.6260906193303589E-3</v>
      </c>
    </row>
    <row r="23" spans="2:12" ht="13.35" customHeight="1" outlineLevel="1" x14ac:dyDescent="0.2">
      <c r="B23" s="54" t="s">
        <v>117</v>
      </c>
      <c r="C23" s="24">
        <f>1170373.78</f>
        <v>1170373.78</v>
      </c>
      <c r="D23" s="53">
        <f>484177.22</f>
        <v>484177.22</v>
      </c>
      <c r="E23" s="24">
        <f>0</f>
        <v>0</v>
      </c>
      <c r="F23" s="24">
        <f>0</f>
        <v>0</v>
      </c>
      <c r="G23" s="24">
        <f>0</f>
        <v>0</v>
      </c>
      <c r="H23" s="24">
        <f>0</f>
        <v>0</v>
      </c>
      <c r="I23" s="24">
        <f>0</f>
        <v>0</v>
      </c>
      <c r="J23" s="35">
        <f t="shared" si="0"/>
        <v>6.9360391430765551E-4</v>
      </c>
      <c r="K23" s="35">
        <f t="shared" si="3"/>
        <v>41.369452073678545</v>
      </c>
      <c r="L23" s="35">
        <f t="shared" si="2"/>
        <v>9.3315761025035036E-4</v>
      </c>
    </row>
    <row r="24" spans="2:12" ht="13.35" customHeight="1" outlineLevel="1" x14ac:dyDescent="0.2">
      <c r="B24" s="54" t="s">
        <v>20</v>
      </c>
      <c r="C24" s="24">
        <f>5426206251.74</f>
        <v>5426206251.7399998</v>
      </c>
      <c r="D24" s="53">
        <f>1003706614.12</f>
        <v>1003706614.12</v>
      </c>
      <c r="E24" s="24">
        <f>0</f>
        <v>0</v>
      </c>
      <c r="F24" s="24">
        <f>0</f>
        <v>0</v>
      </c>
      <c r="G24" s="24">
        <f>0</f>
        <v>0</v>
      </c>
      <c r="H24" s="24">
        <f>0</f>
        <v>0</v>
      </c>
      <c r="I24" s="24">
        <f>0</f>
        <v>0</v>
      </c>
      <c r="J24" s="35">
        <f t="shared" si="0"/>
        <v>1.4378512817478597</v>
      </c>
      <c r="K24" s="35">
        <f t="shared" si="3"/>
        <v>18.497391502546471</v>
      </c>
      <c r="L24" s="35">
        <f t="shared" si="2"/>
        <v>1.9344496740773756</v>
      </c>
    </row>
    <row r="25" spans="2:12" ht="13.35" customHeight="1" outlineLevel="1" x14ac:dyDescent="0.2">
      <c r="B25" s="54" t="s">
        <v>21</v>
      </c>
      <c r="C25" s="24">
        <f>C7-C8-C9-C10-C11-C12-C13-C14-C15-C16-C17-C18-C19-C20-C21-C22-C23-C24</f>
        <v>24049545851.589981</v>
      </c>
      <c r="D25" s="24">
        <f t="shared" ref="D25:I25" si="4">D7-D8-D9-D10-D11-D12-D13-D14-D15-D16-D17-D18-D19-D20-D21-D22-D23-D24</f>
        <v>6149082723.8899984</v>
      </c>
      <c r="E25" s="24">
        <f t="shared" si="4"/>
        <v>5615152.0000000382</v>
      </c>
      <c r="F25" s="24">
        <f t="shared" si="4"/>
        <v>11918.000000015483</v>
      </c>
      <c r="G25" s="24">
        <f t="shared" si="4"/>
        <v>4581152.8199999994</v>
      </c>
      <c r="H25" s="24">
        <f t="shared" si="4"/>
        <v>7765169.1400000062</v>
      </c>
      <c r="I25" s="24">
        <f t="shared" si="4"/>
        <v>9627.7900000000154</v>
      </c>
      <c r="J25" s="35">
        <f t="shared" si="0"/>
        <v>8.808815595850799</v>
      </c>
      <c r="K25" s="35">
        <f t="shared" si="3"/>
        <v>25.568394354870804</v>
      </c>
      <c r="L25" s="35">
        <f t="shared" si="2"/>
        <v>11.851163381575255</v>
      </c>
    </row>
    <row r="26" spans="2:12" ht="27" customHeight="1" x14ac:dyDescent="0.2">
      <c r="B26" s="84" t="s">
        <v>84</v>
      </c>
      <c r="C26" s="45">
        <f>C27+C46+C48</f>
        <v>44556090342.230003</v>
      </c>
      <c r="D26" s="45">
        <f>D27+D46+D48</f>
        <v>7783526412.6800013</v>
      </c>
      <c r="E26" s="41" t="s">
        <v>45</v>
      </c>
      <c r="F26" s="41" t="s">
        <v>45</v>
      </c>
      <c r="G26" s="41" t="s">
        <v>45</v>
      </c>
      <c r="H26" s="41" t="s">
        <v>45</v>
      </c>
      <c r="I26" s="41" t="s">
        <v>45</v>
      </c>
      <c r="J26" s="46">
        <f t="shared" si="0"/>
        <v>11.150223851819945</v>
      </c>
      <c r="K26" s="46">
        <f t="shared" si="1"/>
        <v>17.469051599670586</v>
      </c>
      <c r="L26" s="29"/>
    </row>
    <row r="27" spans="2:12" ht="27" customHeight="1" outlineLevel="1" x14ac:dyDescent="0.2">
      <c r="B27" s="92" t="s">
        <v>47</v>
      </c>
      <c r="C27" s="45">
        <f>C28+C30+C32+C34+C36+C38+C40+C42+C44</f>
        <v>28237585449.720001</v>
      </c>
      <c r="D27" s="45">
        <f>D28+D30+D32+D34+D36+D38+D40+D42+D44</f>
        <v>6425151137.0200005</v>
      </c>
      <c r="E27" s="41" t="s">
        <v>45</v>
      </c>
      <c r="F27" s="41" t="s">
        <v>45</v>
      </c>
      <c r="G27" s="41" t="s">
        <v>45</v>
      </c>
      <c r="H27" s="41" t="s">
        <v>45</v>
      </c>
      <c r="I27" s="41" t="s">
        <v>45</v>
      </c>
      <c r="J27" s="46">
        <f t="shared" si="0"/>
        <v>9.2042950278729663</v>
      </c>
      <c r="K27" s="46">
        <f t="shared" si="1"/>
        <v>22.753897100942499</v>
      </c>
      <c r="L27" s="29"/>
    </row>
    <row r="28" spans="2:12" ht="22.5" customHeight="1" outlineLevel="1" x14ac:dyDescent="0.2">
      <c r="B28" s="82" t="s">
        <v>9</v>
      </c>
      <c r="C28" s="24">
        <f>12019660081.56</f>
        <v>12019660081.559999</v>
      </c>
      <c r="D28" s="24">
        <f>4005185484.09</f>
        <v>4005185484.0900002</v>
      </c>
      <c r="E28" s="24" t="s">
        <v>45</v>
      </c>
      <c r="F28" s="24" t="s">
        <v>45</v>
      </c>
      <c r="G28" s="24" t="s">
        <v>45</v>
      </c>
      <c r="H28" s="24" t="s">
        <v>45</v>
      </c>
      <c r="I28" s="24" t="s">
        <v>45</v>
      </c>
      <c r="J28" s="35">
        <f t="shared" si="0"/>
        <v>5.7375940348722434</v>
      </c>
      <c r="K28" s="35">
        <f t="shared" si="1"/>
        <v>33.321953007927142</v>
      </c>
      <c r="L28" s="29"/>
    </row>
    <row r="29" spans="2:12" ht="13.5" customHeight="1" outlineLevel="1" x14ac:dyDescent="0.2">
      <c r="B29" s="93" t="s">
        <v>6</v>
      </c>
      <c r="C29" s="24">
        <f>154563176.64</f>
        <v>154563176.63999999</v>
      </c>
      <c r="D29" s="24">
        <f>7091283.25</f>
        <v>7091283.25</v>
      </c>
      <c r="E29" s="24" t="s">
        <v>45</v>
      </c>
      <c r="F29" s="24" t="s">
        <v>45</v>
      </c>
      <c r="G29" s="24" t="s">
        <v>45</v>
      </c>
      <c r="H29" s="24" t="s">
        <v>45</v>
      </c>
      <c r="I29" s="24" t="s">
        <v>45</v>
      </c>
      <c r="J29" s="35">
        <f t="shared" si="0"/>
        <v>1.0158556859953701E-2</v>
      </c>
      <c r="K29" s="35">
        <f t="shared" si="1"/>
        <v>4.5879512857817524</v>
      </c>
      <c r="L29" s="29"/>
    </row>
    <row r="30" spans="2:12" ht="13.5" customHeight="1" outlineLevel="1" x14ac:dyDescent="0.2">
      <c r="B30" s="82" t="s">
        <v>7</v>
      </c>
      <c r="C30" s="24">
        <f>3935533575.84</f>
        <v>3935533575.8400002</v>
      </c>
      <c r="D30" s="24">
        <f>818768759.04</f>
        <v>818768759.03999996</v>
      </c>
      <c r="E30" s="24" t="s">
        <v>45</v>
      </c>
      <c r="F30" s="24" t="s">
        <v>45</v>
      </c>
      <c r="G30" s="24" t="s">
        <v>45</v>
      </c>
      <c r="H30" s="24" t="s">
        <v>45</v>
      </c>
      <c r="I30" s="24" t="s">
        <v>45</v>
      </c>
      <c r="J30" s="35">
        <f t="shared" si="0"/>
        <v>1.1729201472612973</v>
      </c>
      <c r="K30" s="35">
        <f t="shared" si="1"/>
        <v>20.804517183295584</v>
      </c>
      <c r="L30" s="29"/>
    </row>
    <row r="31" spans="2:12" ht="13.5" customHeight="1" outlineLevel="1" x14ac:dyDescent="0.2">
      <c r="B31" s="93" t="s">
        <v>6</v>
      </c>
      <c r="C31" s="24">
        <f>1016362420.17</f>
        <v>1016362420.17</v>
      </c>
      <c r="D31" s="24">
        <f>25323626.04</f>
        <v>25323626.039999999</v>
      </c>
      <c r="E31" s="24" t="s">
        <v>45</v>
      </c>
      <c r="F31" s="24" t="s">
        <v>45</v>
      </c>
      <c r="G31" s="24" t="s">
        <v>45</v>
      </c>
      <c r="H31" s="24" t="s">
        <v>45</v>
      </c>
      <c r="I31" s="24" t="s">
        <v>45</v>
      </c>
      <c r="J31" s="35">
        <f t="shared" si="0"/>
        <v>3.6277142790417265E-2</v>
      </c>
      <c r="K31" s="35">
        <f t="shared" si="1"/>
        <v>2.4915940945321742</v>
      </c>
      <c r="L31" s="29"/>
    </row>
    <row r="32" spans="2:12" ht="35.1" customHeight="1" outlineLevel="1" x14ac:dyDescent="0.2">
      <c r="B32" s="82" t="s">
        <v>10</v>
      </c>
      <c r="C32" s="24">
        <f>21870035.37</f>
        <v>21870035.370000001</v>
      </c>
      <c r="D32" s="24">
        <f>5676202.56</f>
        <v>5676202.5599999996</v>
      </c>
      <c r="E32" s="24" t="s">
        <v>45</v>
      </c>
      <c r="F32" s="24" t="s">
        <v>45</v>
      </c>
      <c r="G32" s="24" t="s">
        <v>45</v>
      </c>
      <c r="H32" s="24" t="s">
        <v>45</v>
      </c>
      <c r="I32" s="24" t="s">
        <v>45</v>
      </c>
      <c r="J32" s="35">
        <f t="shared" si="0"/>
        <v>8.1313951821589923E-3</v>
      </c>
      <c r="K32" s="35">
        <f t="shared" si="1"/>
        <v>25.954244993066052</v>
      </c>
      <c r="L32" s="29"/>
    </row>
    <row r="33" spans="2:12" ht="13.5" customHeight="1" outlineLevel="1" x14ac:dyDescent="0.2">
      <c r="B33" s="93" t="s">
        <v>6</v>
      </c>
      <c r="C33" s="24">
        <f>6567932.18</f>
        <v>6567932.1799999997</v>
      </c>
      <c r="D33" s="24">
        <f>611010</f>
        <v>611010</v>
      </c>
      <c r="E33" s="24" t="s">
        <v>45</v>
      </c>
      <c r="F33" s="24" t="s">
        <v>45</v>
      </c>
      <c r="G33" s="24" t="s">
        <v>45</v>
      </c>
      <c r="H33" s="24" t="s">
        <v>45</v>
      </c>
      <c r="I33" s="24" t="s">
        <v>45</v>
      </c>
      <c r="J33" s="35">
        <f t="shared" si="0"/>
        <v>8.7529712298550636E-4</v>
      </c>
      <c r="K33" s="35">
        <f t="shared" si="1"/>
        <v>9.3029279726819603</v>
      </c>
      <c r="L33" s="29"/>
    </row>
    <row r="34" spans="2:12" ht="24" customHeight="1" outlineLevel="1" x14ac:dyDescent="0.2">
      <c r="B34" s="82" t="s">
        <v>11</v>
      </c>
      <c r="C34" s="24">
        <f>872786116.64</f>
        <v>872786116.63999999</v>
      </c>
      <c r="D34" s="24">
        <f>137993662.25</f>
        <v>137993662.25</v>
      </c>
      <c r="E34" s="24" t="s">
        <v>45</v>
      </c>
      <c r="F34" s="24" t="s">
        <v>45</v>
      </c>
      <c r="G34" s="24" t="s">
        <v>45</v>
      </c>
      <c r="H34" s="24" t="s">
        <v>45</v>
      </c>
      <c r="I34" s="24" t="s">
        <v>45</v>
      </c>
      <c r="J34" s="35">
        <f t="shared" si="0"/>
        <v>0.19768163460116639</v>
      </c>
      <c r="K34" s="35">
        <f t="shared" si="1"/>
        <v>15.810707757501893</v>
      </c>
      <c r="L34" s="29"/>
    </row>
    <row r="35" spans="2:12" ht="13.5" customHeight="1" outlineLevel="1" x14ac:dyDescent="0.2">
      <c r="B35" s="93" t="s">
        <v>6</v>
      </c>
      <c r="C35" s="24">
        <f>368619121.77</f>
        <v>368619121.76999998</v>
      </c>
      <c r="D35" s="24">
        <f>11422589.67</f>
        <v>11422589.67</v>
      </c>
      <c r="E35" s="24" t="s">
        <v>45</v>
      </c>
      <c r="F35" s="24" t="s">
        <v>45</v>
      </c>
      <c r="G35" s="24" t="s">
        <v>45</v>
      </c>
      <c r="H35" s="24" t="s">
        <v>45</v>
      </c>
      <c r="I35" s="24" t="s">
        <v>45</v>
      </c>
      <c r="J35" s="35">
        <f t="shared" si="0"/>
        <v>1.6363332638082789E-2</v>
      </c>
      <c r="K35" s="35">
        <f t="shared" si="1"/>
        <v>3.0987512571654188</v>
      </c>
      <c r="L35" s="29"/>
    </row>
    <row r="36" spans="2:12" ht="35.1" customHeight="1" outlineLevel="1" x14ac:dyDescent="0.2">
      <c r="B36" s="82" t="s">
        <v>62</v>
      </c>
      <c r="C36" s="24">
        <f>729169017.86</f>
        <v>729169017.86000001</v>
      </c>
      <c r="D36" s="24">
        <f>64309476.96</f>
        <v>64309476.960000001</v>
      </c>
      <c r="E36" s="24" t="s">
        <v>45</v>
      </c>
      <c r="F36" s="24" t="s">
        <v>45</v>
      </c>
      <c r="G36" s="24" t="s">
        <v>45</v>
      </c>
      <c r="H36" s="24" t="s">
        <v>45</v>
      </c>
      <c r="I36" s="24" t="s">
        <v>45</v>
      </c>
      <c r="J36" s="35">
        <f t="shared" si="0"/>
        <v>9.2125988386099589E-2</v>
      </c>
      <c r="K36" s="35">
        <f t="shared" si="1"/>
        <v>8.819556973051121</v>
      </c>
      <c r="L36" s="29"/>
    </row>
    <row r="37" spans="2:12" ht="13.5" customHeight="1" outlineLevel="1" x14ac:dyDescent="0.2">
      <c r="B37" s="93" t="s">
        <v>6</v>
      </c>
      <c r="C37" s="24">
        <f>680801617.35</f>
        <v>680801617.35000002</v>
      </c>
      <c r="D37" s="24">
        <f>50686420.34</f>
        <v>50686420.340000004</v>
      </c>
      <c r="E37" s="24" t="s">
        <v>45</v>
      </c>
      <c r="F37" s="24" t="s">
        <v>45</v>
      </c>
      <c r="G37" s="24" t="s">
        <v>45</v>
      </c>
      <c r="H37" s="24" t="s">
        <v>45</v>
      </c>
      <c r="I37" s="24" t="s">
        <v>45</v>
      </c>
      <c r="J37" s="35">
        <f t="shared" si="0"/>
        <v>7.2610395734989688E-2</v>
      </c>
      <c r="K37" s="35">
        <f t="shared" si="1"/>
        <v>7.4451086848611459</v>
      </c>
      <c r="L37" s="29"/>
    </row>
    <row r="38" spans="2:12" ht="13.5" customHeight="1" outlineLevel="1" x14ac:dyDescent="0.2">
      <c r="B38" s="82" t="s">
        <v>8</v>
      </c>
      <c r="C38" s="24">
        <f>659111108.46</f>
        <v>659111108.46000004</v>
      </c>
      <c r="D38" s="24">
        <f>38352008.58</f>
        <v>38352008.579999998</v>
      </c>
      <c r="E38" s="24" t="s">
        <v>45</v>
      </c>
      <c r="F38" s="24" t="s">
        <v>45</v>
      </c>
      <c r="G38" s="24" t="s">
        <v>45</v>
      </c>
      <c r="H38" s="24" t="s">
        <v>45</v>
      </c>
      <c r="I38" s="24" t="s">
        <v>45</v>
      </c>
      <c r="J38" s="35">
        <f t="shared" si="0"/>
        <v>5.4940840200306797E-2</v>
      </c>
      <c r="K38" s="35">
        <f t="shared" si="1"/>
        <v>5.818747110727462</v>
      </c>
      <c r="L38" s="29"/>
    </row>
    <row r="39" spans="2:12" ht="13.5" customHeight="1" outlineLevel="1" x14ac:dyDescent="0.2">
      <c r="B39" s="94" t="s">
        <v>6</v>
      </c>
      <c r="C39" s="22">
        <f>612846825.45</f>
        <v>612846825.45000005</v>
      </c>
      <c r="D39" s="22">
        <f>31201895.37</f>
        <v>31201895.370000001</v>
      </c>
      <c r="E39" s="24" t="s">
        <v>45</v>
      </c>
      <c r="F39" s="24" t="s">
        <v>45</v>
      </c>
      <c r="G39" s="24" t="s">
        <v>45</v>
      </c>
      <c r="H39" s="24" t="s">
        <v>45</v>
      </c>
      <c r="I39" s="24" t="s">
        <v>45</v>
      </c>
      <c r="J39" s="35">
        <f t="shared" si="0"/>
        <v>4.469800698688367E-2</v>
      </c>
      <c r="K39" s="35">
        <f t="shared" si="1"/>
        <v>5.09130407048925</v>
      </c>
      <c r="L39" s="29"/>
    </row>
    <row r="40" spans="2:12" ht="71.099999999999994" customHeight="1" outlineLevel="1" x14ac:dyDescent="0.2">
      <c r="B40" s="82" t="s">
        <v>78</v>
      </c>
      <c r="C40" s="22">
        <f>9857471.87</f>
        <v>9857471.8699999992</v>
      </c>
      <c r="D40" s="22">
        <f>0</f>
        <v>0</v>
      </c>
      <c r="E40" s="24" t="s">
        <v>45</v>
      </c>
      <c r="F40" s="24" t="s">
        <v>45</v>
      </c>
      <c r="G40" s="24" t="s">
        <v>45</v>
      </c>
      <c r="H40" s="24" t="s">
        <v>45</v>
      </c>
      <c r="I40" s="24" t="s">
        <v>45</v>
      </c>
      <c r="J40" s="35">
        <f t="shared" si="0"/>
        <v>0</v>
      </c>
      <c r="K40" s="35">
        <f>IF(C40=0,"",100*D40/C40)</f>
        <v>0</v>
      </c>
      <c r="L40" s="29"/>
    </row>
    <row r="41" spans="2:12" ht="13.5" customHeight="1" outlineLevel="1" x14ac:dyDescent="0.2">
      <c r="B41" s="94" t="s">
        <v>79</v>
      </c>
      <c r="C41" s="22">
        <f>9098836.87</f>
        <v>9098836.8699999992</v>
      </c>
      <c r="D41" s="22">
        <f>0</f>
        <v>0</v>
      </c>
      <c r="E41" s="24" t="s">
        <v>45</v>
      </c>
      <c r="F41" s="24" t="s">
        <v>45</v>
      </c>
      <c r="G41" s="24" t="s">
        <v>45</v>
      </c>
      <c r="H41" s="24" t="s">
        <v>45</v>
      </c>
      <c r="I41" s="24" t="s">
        <v>45</v>
      </c>
      <c r="J41" s="35">
        <f t="shared" si="0"/>
        <v>0</v>
      </c>
      <c r="K41" s="35">
        <f>IF(C41=0,"",100*D41/C41)</f>
        <v>0</v>
      </c>
      <c r="L41" s="29"/>
    </row>
    <row r="42" spans="2:12" ht="48" customHeight="1" outlineLevel="1" x14ac:dyDescent="0.2">
      <c r="B42" s="95" t="s">
        <v>124</v>
      </c>
      <c r="C42" s="22">
        <f>9923747355.22</f>
        <v>9923747355.2199993</v>
      </c>
      <c r="D42" s="22">
        <f>1310968515.25</f>
        <v>1310968515.25</v>
      </c>
      <c r="E42" s="24" t="s">
        <v>45</v>
      </c>
      <c r="F42" s="24" t="s">
        <v>45</v>
      </c>
      <c r="G42" s="24" t="s">
        <v>45</v>
      </c>
      <c r="H42" s="24" t="s">
        <v>45</v>
      </c>
      <c r="I42" s="24" t="s">
        <v>45</v>
      </c>
      <c r="J42" s="35">
        <f t="shared" si="0"/>
        <v>1.8780166768512887</v>
      </c>
      <c r="K42" s="35">
        <f t="shared" si="1"/>
        <v>13.210418084257418</v>
      </c>
      <c r="L42" s="29"/>
    </row>
    <row r="43" spans="2:12" ht="13.5" customHeight="1" outlineLevel="1" x14ac:dyDescent="0.2">
      <c r="B43" s="94" t="s">
        <v>6</v>
      </c>
      <c r="C43" s="22">
        <f>9918956529.6</f>
        <v>9918956529.6000004</v>
      </c>
      <c r="D43" s="22">
        <f>1309025655.13</f>
        <v>1309025655.1300001</v>
      </c>
      <c r="E43" s="24" t="s">
        <v>45</v>
      </c>
      <c r="F43" s="24" t="s">
        <v>45</v>
      </c>
      <c r="G43" s="24" t="s">
        <v>45</v>
      </c>
      <c r="H43" s="24" t="s">
        <v>45</v>
      </c>
      <c r="I43" s="24" t="s">
        <v>45</v>
      </c>
      <c r="J43" s="35">
        <f t="shared" si="0"/>
        <v>1.8752334492880751</v>
      </c>
      <c r="K43" s="35">
        <f t="shared" si="1"/>
        <v>13.19721133189389</v>
      </c>
      <c r="L43" s="29"/>
    </row>
    <row r="44" spans="2:12" ht="22.5" outlineLevel="1" x14ac:dyDescent="0.2">
      <c r="B44" s="95" t="s">
        <v>89</v>
      </c>
      <c r="C44" s="22">
        <f>65850686.9</f>
        <v>65850686.899999999</v>
      </c>
      <c r="D44" s="22">
        <f>43897028.29</f>
        <v>43897028.289999999</v>
      </c>
      <c r="E44" s="24" t="s">
        <v>45</v>
      </c>
      <c r="F44" s="24" t="s">
        <v>45</v>
      </c>
      <c r="G44" s="24" t="s">
        <v>45</v>
      </c>
      <c r="H44" s="24" t="s">
        <v>45</v>
      </c>
      <c r="I44" s="24" t="s">
        <v>45</v>
      </c>
      <c r="J44" s="35">
        <f t="shared" si="0"/>
        <v>6.2884310518404582E-2</v>
      </c>
      <c r="K44" s="35">
        <f t="shared" si="1"/>
        <v>66.661458454733292</v>
      </c>
      <c r="L44" s="29"/>
    </row>
    <row r="45" spans="2:12" ht="13.5" customHeight="1" outlineLevel="1" x14ac:dyDescent="0.2">
      <c r="B45" s="94" t="s">
        <v>6</v>
      </c>
      <c r="C45" s="22">
        <f>0</f>
        <v>0</v>
      </c>
      <c r="D45" s="22">
        <f>0</f>
        <v>0</v>
      </c>
      <c r="E45" s="24" t="s">
        <v>45</v>
      </c>
      <c r="F45" s="24" t="s">
        <v>45</v>
      </c>
      <c r="G45" s="24" t="s">
        <v>45</v>
      </c>
      <c r="H45" s="24" t="s">
        <v>45</v>
      </c>
      <c r="I45" s="24" t="s">
        <v>45</v>
      </c>
      <c r="J45" s="35">
        <f t="shared" si="0"/>
        <v>0</v>
      </c>
      <c r="K45" s="35" t="str">
        <f t="shared" si="1"/>
        <v/>
      </c>
      <c r="L45" s="29"/>
    </row>
    <row r="46" spans="2:12" outlineLevel="1" x14ac:dyDescent="0.2">
      <c r="B46" s="92" t="s">
        <v>73</v>
      </c>
      <c r="C46" s="45">
        <f>1193119540.08</f>
        <v>1193119540.0799999</v>
      </c>
      <c r="D46" s="45">
        <f>68415081.77</f>
        <v>68415081.769999996</v>
      </c>
      <c r="E46" s="41" t="s">
        <v>45</v>
      </c>
      <c r="F46" s="41" t="s">
        <v>45</v>
      </c>
      <c r="G46" s="41" t="s">
        <v>45</v>
      </c>
      <c r="H46" s="41" t="s">
        <v>45</v>
      </c>
      <c r="I46" s="41" t="s">
        <v>45</v>
      </c>
      <c r="J46" s="46">
        <f t="shared" si="0"/>
        <v>9.8007437263054886E-2</v>
      </c>
      <c r="K46" s="46">
        <f t="shared" si="1"/>
        <v>5.7341347175835118</v>
      </c>
      <c r="L46" s="29"/>
    </row>
    <row r="47" spans="2:12" ht="13.5" customHeight="1" outlineLevel="1" x14ac:dyDescent="0.2">
      <c r="B47" s="94" t="s">
        <v>74</v>
      </c>
      <c r="C47" s="22">
        <f>1011663941.27</f>
        <v>1011663941.27</v>
      </c>
      <c r="D47" s="22">
        <f>28300597.41</f>
        <v>28300597.41</v>
      </c>
      <c r="E47" s="24" t="s">
        <v>45</v>
      </c>
      <c r="F47" s="24" t="s">
        <v>45</v>
      </c>
      <c r="G47" s="24" t="s">
        <v>45</v>
      </c>
      <c r="H47" s="24" t="s">
        <v>45</v>
      </c>
      <c r="I47" s="24" t="s">
        <v>45</v>
      </c>
      <c r="J47" s="35">
        <f t="shared" si="0"/>
        <v>4.0541777535137026E-2</v>
      </c>
      <c r="K47" s="35">
        <f t="shared" si="1"/>
        <v>2.7974306739125869</v>
      </c>
      <c r="L47" s="29"/>
    </row>
    <row r="48" spans="2:12" ht="13.5" customHeight="1" outlineLevel="1" x14ac:dyDescent="0.2">
      <c r="B48" s="92" t="s">
        <v>75</v>
      </c>
      <c r="C48" s="41">
        <f>15125385352.43</f>
        <v>15125385352.43</v>
      </c>
      <c r="D48" s="41">
        <f>1289960193.89</f>
        <v>1289960193.8900001</v>
      </c>
      <c r="E48" s="41" t="s">
        <v>45</v>
      </c>
      <c r="F48" s="41" t="s">
        <v>45</v>
      </c>
      <c r="G48" s="41" t="s">
        <v>45</v>
      </c>
      <c r="H48" s="41" t="s">
        <v>45</v>
      </c>
      <c r="I48" s="41" t="s">
        <v>45</v>
      </c>
      <c r="J48" s="55">
        <f t="shared" si="0"/>
        <v>1.8479213866839219</v>
      </c>
      <c r="K48" s="55">
        <f t="shared" si="1"/>
        <v>8.5284451525247178</v>
      </c>
      <c r="L48" s="29"/>
    </row>
    <row r="49" spans="1:26" ht="13.5" customHeight="1" outlineLevel="1" x14ac:dyDescent="0.2">
      <c r="B49" s="94" t="s">
        <v>76</v>
      </c>
      <c r="C49" s="22">
        <f>13263595492.97</f>
        <v>13263595492.969999</v>
      </c>
      <c r="D49" s="22">
        <f>832655650.78</f>
        <v>832655650.77999997</v>
      </c>
      <c r="E49" s="24" t="s">
        <v>45</v>
      </c>
      <c r="F49" s="24" t="s">
        <v>45</v>
      </c>
      <c r="G49" s="24" t="s">
        <v>45</v>
      </c>
      <c r="H49" s="24" t="s">
        <v>45</v>
      </c>
      <c r="I49" s="24" t="s">
        <v>45</v>
      </c>
      <c r="J49" s="35">
        <f t="shared" si="0"/>
        <v>1.1928136946455188</v>
      </c>
      <c r="K49" s="35">
        <f t="shared" si="1"/>
        <v>6.2777521466281598</v>
      </c>
      <c r="L49" s="29"/>
    </row>
    <row r="50" spans="1:26" s="5" customFormat="1" ht="25.5" customHeight="1" x14ac:dyDescent="0.2">
      <c r="B50" s="84" t="s">
        <v>102</v>
      </c>
      <c r="C50" s="25">
        <f>26371073666.7</f>
        <v>26371073666.700001</v>
      </c>
      <c r="D50" s="45">
        <f>10136584389</f>
        <v>10136584389</v>
      </c>
      <c r="E50" s="23" t="s">
        <v>45</v>
      </c>
      <c r="F50" s="23" t="s">
        <v>45</v>
      </c>
      <c r="G50" s="23" t="s">
        <v>45</v>
      </c>
      <c r="H50" s="23" t="s">
        <v>45</v>
      </c>
      <c r="I50" s="23" t="s">
        <v>45</v>
      </c>
      <c r="J50" s="34">
        <f t="shared" si="0"/>
        <v>14.521076827861242</v>
      </c>
      <c r="K50" s="34">
        <f t="shared" si="1"/>
        <v>38.438269587028394</v>
      </c>
      <c r="L50" s="30"/>
    </row>
    <row r="51" spans="1:26" ht="13.5" customHeight="1" outlineLevel="1" x14ac:dyDescent="0.2">
      <c r="B51" s="32" t="s">
        <v>35</v>
      </c>
      <c r="C51" s="22">
        <f>0</f>
        <v>0</v>
      </c>
      <c r="D51" s="22">
        <f>0</f>
        <v>0</v>
      </c>
      <c r="E51" s="24" t="s">
        <v>45</v>
      </c>
      <c r="F51" s="24" t="s">
        <v>45</v>
      </c>
      <c r="G51" s="24" t="s">
        <v>45</v>
      </c>
      <c r="H51" s="24" t="s">
        <v>45</v>
      </c>
      <c r="I51" s="24" t="s">
        <v>45</v>
      </c>
      <c r="J51" s="35">
        <f t="shared" si="0"/>
        <v>0</v>
      </c>
      <c r="K51" s="35" t="str">
        <f t="shared" si="1"/>
        <v/>
      </c>
      <c r="L51" s="29"/>
    </row>
    <row r="52" spans="1:26" ht="22.5" outlineLevel="1" x14ac:dyDescent="0.2">
      <c r="B52" s="54" t="s">
        <v>103</v>
      </c>
      <c r="C52" s="24">
        <f>16463844.72</f>
        <v>16463844.720000001</v>
      </c>
      <c r="D52" s="24">
        <f>0</f>
        <v>0</v>
      </c>
      <c r="E52" s="24" t="s">
        <v>45</v>
      </c>
      <c r="F52" s="24" t="s">
        <v>45</v>
      </c>
      <c r="G52" s="24" t="s">
        <v>45</v>
      </c>
      <c r="H52" s="24" t="s">
        <v>45</v>
      </c>
      <c r="I52" s="24" t="s">
        <v>45</v>
      </c>
      <c r="J52" s="35">
        <f t="shared" si="0"/>
        <v>0</v>
      </c>
      <c r="K52" s="35">
        <f t="shared" si="1"/>
        <v>0</v>
      </c>
      <c r="L52" s="29"/>
    </row>
    <row r="53" spans="1:26" ht="13.5" customHeight="1" outlineLevel="1" x14ac:dyDescent="0.2">
      <c r="B53" s="82" t="s">
        <v>6</v>
      </c>
      <c r="C53" s="24">
        <f>7563871.72</f>
        <v>7563871.7199999997</v>
      </c>
      <c r="D53" s="24">
        <f>0</f>
        <v>0</v>
      </c>
      <c r="E53" s="24" t="s">
        <v>45</v>
      </c>
      <c r="F53" s="24" t="s">
        <v>45</v>
      </c>
      <c r="G53" s="24" t="s">
        <v>45</v>
      </c>
      <c r="H53" s="24" t="s">
        <v>45</v>
      </c>
      <c r="I53" s="24" t="s">
        <v>45</v>
      </c>
      <c r="J53" s="35">
        <f t="shared" si="0"/>
        <v>0</v>
      </c>
      <c r="K53" s="35">
        <f t="shared" si="1"/>
        <v>0</v>
      </c>
      <c r="L53" s="29"/>
    </row>
    <row r="54" spans="1:26" s="5" customFormat="1" x14ac:dyDescent="0.2">
      <c r="A54" s="2"/>
      <c r="B54" s="20"/>
      <c r="C54" s="7"/>
      <c r="D54" s="8"/>
      <c r="E54" s="16"/>
      <c r="F54" s="16"/>
      <c r="G54" s="16"/>
      <c r="H54" s="16"/>
      <c r="I54" s="16"/>
      <c r="J54" s="9"/>
      <c r="K54" s="9"/>
      <c r="L54" s="3"/>
    </row>
    <row r="55" spans="1:26" s="5" customFormat="1" ht="13.5" customHeight="1" x14ac:dyDescent="0.2">
      <c r="A55" s="2"/>
      <c r="B55" s="83" t="s">
        <v>5</v>
      </c>
      <c r="C55" s="41">
        <f t="shared" ref="C55:I55" si="5">+C6</f>
        <v>223162457634.87</v>
      </c>
      <c r="D55" s="41">
        <f t="shared" si="5"/>
        <v>69806010319.779999</v>
      </c>
      <c r="E55" s="41">
        <f t="shared" si="5"/>
        <v>1440212666.77</v>
      </c>
      <c r="F55" s="41">
        <f t="shared" si="5"/>
        <v>222587115.02000001</v>
      </c>
      <c r="G55" s="41">
        <f t="shared" si="5"/>
        <v>24989028.25</v>
      </c>
      <c r="H55" s="41">
        <f t="shared" si="5"/>
        <v>70402978.730000004</v>
      </c>
      <c r="I55" s="41">
        <f t="shared" si="5"/>
        <v>145246.79</v>
      </c>
      <c r="J55" s="56">
        <f t="shared" si="0"/>
        <v>100</v>
      </c>
      <c r="K55" s="77">
        <f>IF(C55=0,"",100*D55/C55)</f>
        <v>31.280355602640817</v>
      </c>
      <c r="L55" s="79"/>
    </row>
    <row r="56" spans="1:26" s="5" customFormat="1" ht="13.5" customHeight="1" x14ac:dyDescent="0.2">
      <c r="A56" s="2"/>
      <c r="B56" s="85" t="s">
        <v>57</v>
      </c>
      <c r="C56" s="24">
        <f>34285547630.07</f>
        <v>34285547630.07</v>
      </c>
      <c r="D56" s="24">
        <f>3197003588.01</f>
        <v>3197003588.0100002</v>
      </c>
      <c r="E56" s="24">
        <f>0</f>
        <v>0</v>
      </c>
      <c r="F56" s="24">
        <f>0</f>
        <v>0</v>
      </c>
      <c r="G56" s="24">
        <f>0</f>
        <v>0</v>
      </c>
      <c r="H56" s="24">
        <f>0</f>
        <v>0</v>
      </c>
      <c r="I56" s="24">
        <f>0</f>
        <v>0</v>
      </c>
      <c r="J56" s="38">
        <f t="shared" si="0"/>
        <v>4.5798400071348979</v>
      </c>
      <c r="K56" s="78">
        <f>IF(C56=0,"",100*D56/C56)</f>
        <v>9.3246391234716075</v>
      </c>
      <c r="L56" s="79"/>
    </row>
    <row r="57" spans="1:26" s="5" customFormat="1" ht="13.5" customHeight="1" x14ac:dyDescent="0.2">
      <c r="A57" s="2"/>
      <c r="B57" s="85" t="s">
        <v>58</v>
      </c>
      <c r="C57" s="24">
        <f>C55-C56</f>
        <v>188876910004.79999</v>
      </c>
      <c r="D57" s="24">
        <f t="shared" ref="D57:I57" si="6">D55-D56</f>
        <v>66609006731.769997</v>
      </c>
      <c r="E57" s="24">
        <f t="shared" si="6"/>
        <v>1440212666.77</v>
      </c>
      <c r="F57" s="24">
        <f t="shared" si="6"/>
        <v>222587115.02000001</v>
      </c>
      <c r="G57" s="24">
        <f t="shared" si="6"/>
        <v>24989028.25</v>
      </c>
      <c r="H57" s="24">
        <f t="shared" si="6"/>
        <v>70402978.730000004</v>
      </c>
      <c r="I57" s="24">
        <f t="shared" si="6"/>
        <v>145246.79</v>
      </c>
      <c r="J57" s="38">
        <f t="shared" si="0"/>
        <v>95.420159992865109</v>
      </c>
      <c r="K57" s="78">
        <f>IF(C57=0,"",100*D57/C57)</f>
        <v>35.26582827412691</v>
      </c>
      <c r="L57" s="79"/>
    </row>
    <row r="58" spans="1:26" s="5" customFormat="1" ht="13.5" customHeight="1" x14ac:dyDescent="0.2">
      <c r="A58" s="2"/>
      <c r="B58" s="104" t="s">
        <v>90</v>
      </c>
      <c r="C58" s="104"/>
      <c r="D58" s="104"/>
      <c r="E58" s="104"/>
      <c r="F58" s="75"/>
      <c r="G58" s="75"/>
      <c r="H58" s="75"/>
      <c r="I58" s="75"/>
      <c r="J58" s="9"/>
      <c r="K58" s="9"/>
      <c r="L58" s="9"/>
    </row>
    <row r="59" spans="1:26" ht="15" x14ac:dyDescent="0.2">
      <c r="B59" s="90" t="str">
        <f>CONCATENATE("Informacja z wykonania budżetów gmin za ",$D$131," ",$C$132," rok     ",$C$134,"")</f>
        <v xml:space="preserve">Informacja z wykonania budżetów gmin za I Kwartał 2026 rok     </v>
      </c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</row>
    <row r="60" spans="1:26" s="5" customFormat="1" ht="7.5" customHeight="1" x14ac:dyDescent="0.2">
      <c r="B60" s="6"/>
      <c r="C60" s="7"/>
      <c r="D60" s="8"/>
      <c r="E60" s="8"/>
      <c r="F60" s="4"/>
      <c r="G60" s="4"/>
      <c r="H60" s="4"/>
      <c r="I60" s="4"/>
      <c r="J60" s="4"/>
      <c r="K60" s="9"/>
      <c r="L60" s="9"/>
      <c r="M60" s="3"/>
    </row>
    <row r="61" spans="1:26" ht="29.25" customHeight="1" x14ac:dyDescent="0.2">
      <c r="B61" s="130" t="s">
        <v>0</v>
      </c>
      <c r="C61" s="114" t="s">
        <v>41</v>
      </c>
      <c r="D61" s="114" t="s">
        <v>43</v>
      </c>
      <c r="E61" s="114" t="s">
        <v>42</v>
      </c>
      <c r="F61" s="114" t="s">
        <v>12</v>
      </c>
      <c r="G61" s="114"/>
      <c r="H61" s="114"/>
      <c r="I61" s="133" t="s">
        <v>67</v>
      </c>
      <c r="J61" s="114" t="s">
        <v>2</v>
      </c>
      <c r="K61" s="137" t="s">
        <v>18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8" customHeight="1" x14ac:dyDescent="0.2">
      <c r="B62" s="130"/>
      <c r="C62" s="114"/>
      <c r="D62" s="114"/>
      <c r="E62" s="115"/>
      <c r="F62" s="116" t="s">
        <v>44</v>
      </c>
      <c r="G62" s="117" t="s">
        <v>27</v>
      </c>
      <c r="H62" s="115"/>
      <c r="I62" s="134"/>
      <c r="J62" s="114"/>
      <c r="K62" s="137"/>
      <c r="L62" s="11"/>
      <c r="M62" s="12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57.75" customHeight="1" x14ac:dyDescent="0.2">
      <c r="B63" s="130"/>
      <c r="C63" s="114"/>
      <c r="D63" s="114"/>
      <c r="E63" s="115"/>
      <c r="F63" s="115"/>
      <c r="G63" s="18" t="s">
        <v>39</v>
      </c>
      <c r="H63" s="18" t="s">
        <v>40</v>
      </c>
      <c r="I63" s="135"/>
      <c r="J63" s="114"/>
      <c r="K63" s="137"/>
      <c r="L63" s="11"/>
      <c r="M63" s="10"/>
      <c r="N63" s="2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3.5" customHeight="1" x14ac:dyDescent="0.2">
      <c r="B64" s="130"/>
      <c r="C64" s="127" t="s">
        <v>61</v>
      </c>
      <c r="D64" s="128"/>
      <c r="E64" s="128"/>
      <c r="F64" s="128"/>
      <c r="G64" s="128"/>
      <c r="H64" s="128"/>
      <c r="I64" s="129"/>
      <c r="J64" s="132" t="s">
        <v>4</v>
      </c>
      <c r="K64" s="132"/>
      <c r="N64" s="21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2:26" ht="11.25" customHeight="1" x14ac:dyDescent="0.2">
      <c r="B65" s="17">
        <v>1</v>
      </c>
      <c r="C65" s="19">
        <v>2</v>
      </c>
      <c r="D65" s="19">
        <v>3</v>
      </c>
      <c r="E65" s="19">
        <v>4</v>
      </c>
      <c r="F65" s="17">
        <v>5</v>
      </c>
      <c r="G65" s="17">
        <v>6</v>
      </c>
      <c r="H65" s="19">
        <v>7</v>
      </c>
      <c r="I65" s="19">
        <v>8</v>
      </c>
      <c r="J65" s="17">
        <v>9</v>
      </c>
      <c r="K65" s="19">
        <v>10</v>
      </c>
      <c r="M65" s="10"/>
      <c r="N65" s="2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2:26" ht="25.5" customHeight="1" x14ac:dyDescent="0.2">
      <c r="B66" s="83" t="s">
        <v>48</v>
      </c>
      <c r="C66" s="57">
        <f>240371087181.59</f>
        <v>240371087181.59</v>
      </c>
      <c r="D66" s="67">
        <f>47582814189.05</f>
        <v>47582814189.050003</v>
      </c>
      <c r="E66" s="67">
        <f>139506223829.4</f>
        <v>139506223829.39999</v>
      </c>
      <c r="F66" s="57">
        <f>4927365241.88</f>
        <v>4927365241.8800001</v>
      </c>
      <c r="G66" s="57">
        <f>5777224.74</f>
        <v>5777224.7400000002</v>
      </c>
      <c r="H66" s="57">
        <f>6030146.38</f>
        <v>6030146.3799999999</v>
      </c>
      <c r="I66" s="68">
        <f>0</f>
        <v>0</v>
      </c>
      <c r="J66" s="52">
        <f>IF($D$66=0,"",100*$D66/$D$66)</f>
        <v>100</v>
      </c>
      <c r="K66" s="52">
        <f>IF(C66=0,"",100*D66/C66)</f>
        <v>19.795564744067256</v>
      </c>
      <c r="N66" s="76"/>
    </row>
    <row r="67" spans="2:26" ht="13.5" customHeight="1" x14ac:dyDescent="0.2">
      <c r="B67" s="84" t="s">
        <v>14</v>
      </c>
      <c r="C67" s="26">
        <f>61433670426.9699</f>
        <v>61433670426.969902</v>
      </c>
      <c r="D67" s="26">
        <f>4327424531.34</f>
        <v>4327424531.3400002</v>
      </c>
      <c r="E67" s="26">
        <f>22503236494.39</f>
        <v>22503236494.389999</v>
      </c>
      <c r="F67" s="26">
        <f>1004190887.87</f>
        <v>1004190887.87</v>
      </c>
      <c r="G67" s="26">
        <f>452629.25</f>
        <v>452629.25</v>
      </c>
      <c r="H67" s="26">
        <f>1727521.08</f>
        <v>1727521.08</v>
      </c>
      <c r="I67" s="69">
        <f>0</f>
        <v>0</v>
      </c>
      <c r="J67" s="52">
        <f t="shared" ref="J67:J75" si="7">IF($D$66=0,"",100*$D67/$D$66)</f>
        <v>9.0945115481123615</v>
      </c>
      <c r="K67" s="52">
        <f t="shared" ref="K67:K75" si="8">IF(C67=0,"",100*D67/C67)</f>
        <v>7.0440598799713321</v>
      </c>
      <c r="N67" s="60"/>
    </row>
    <row r="68" spans="2:26" ht="13.5" customHeight="1" outlineLevel="1" x14ac:dyDescent="0.2">
      <c r="B68" s="32" t="s">
        <v>13</v>
      </c>
      <c r="C68" s="22">
        <f>59747460238.2699</f>
        <v>59747460238.269897</v>
      </c>
      <c r="D68" s="22">
        <f>3991545184.67</f>
        <v>3991545184.6700001</v>
      </c>
      <c r="E68" s="22">
        <f>21973704271.24</f>
        <v>21973704271.240002</v>
      </c>
      <c r="F68" s="22">
        <f>1001330667.87</f>
        <v>1001330667.87</v>
      </c>
      <c r="G68" s="22">
        <f>452629.25</f>
        <v>452629.25</v>
      </c>
      <c r="H68" s="22">
        <f>1727521.08</f>
        <v>1727521.08</v>
      </c>
      <c r="I68" s="65">
        <f>0</f>
        <v>0</v>
      </c>
      <c r="J68" s="52">
        <f t="shared" si="7"/>
        <v>8.3886278117374449</v>
      </c>
      <c r="K68" s="52">
        <f t="shared" si="8"/>
        <v>6.6806943236614851</v>
      </c>
      <c r="N68" s="75"/>
    </row>
    <row r="69" spans="2:26" ht="27" customHeight="1" x14ac:dyDescent="0.2">
      <c r="B69" s="84" t="s">
        <v>49</v>
      </c>
      <c r="C69" s="26">
        <f t="shared" ref="C69:I69" si="9">C66-C67</f>
        <v>178937416754.62009</v>
      </c>
      <c r="D69" s="26">
        <f>D66-D67</f>
        <v>43255389657.710007</v>
      </c>
      <c r="E69" s="26">
        <f>E66-E67</f>
        <v>117002987335.00999</v>
      </c>
      <c r="F69" s="26">
        <f t="shared" si="9"/>
        <v>3923174354.0100002</v>
      </c>
      <c r="G69" s="26">
        <f t="shared" si="9"/>
        <v>5324595.49</v>
      </c>
      <c r="H69" s="26">
        <f t="shared" si="9"/>
        <v>4302625.3</v>
      </c>
      <c r="I69" s="69">
        <f t="shared" si="9"/>
        <v>0</v>
      </c>
      <c r="J69" s="52">
        <f t="shared" si="7"/>
        <v>90.905488451887635</v>
      </c>
      <c r="K69" s="52">
        <f t="shared" si="8"/>
        <v>24.173473855960967</v>
      </c>
      <c r="N69" s="60"/>
    </row>
    <row r="70" spans="2:26" ht="22.5" outlineLevel="1" x14ac:dyDescent="0.2">
      <c r="B70" s="32" t="s">
        <v>82</v>
      </c>
      <c r="C70" s="22">
        <f>88171265292.2999</f>
        <v>88171265292.299896</v>
      </c>
      <c r="D70" s="22">
        <f>23446092228.28</f>
        <v>23446092228.279999</v>
      </c>
      <c r="E70" s="22">
        <f>71218428366.95</f>
        <v>71218428366.949997</v>
      </c>
      <c r="F70" s="22">
        <f>1980324537.73</f>
        <v>1980324537.73</v>
      </c>
      <c r="G70" s="22">
        <f>805425.58</f>
        <v>805425.58</v>
      </c>
      <c r="H70" s="22">
        <f>157196.22</f>
        <v>157196.22</v>
      </c>
      <c r="I70" s="65">
        <f>0</f>
        <v>0</v>
      </c>
      <c r="J70" s="52">
        <f t="shared" si="7"/>
        <v>49.274286584074154</v>
      </c>
      <c r="K70" s="52">
        <f t="shared" si="8"/>
        <v>26.591534272024987</v>
      </c>
      <c r="N70" s="75"/>
    </row>
    <row r="71" spans="2:26" ht="13.5" customHeight="1" outlineLevel="1" x14ac:dyDescent="0.2">
      <c r="B71" s="54" t="s">
        <v>38</v>
      </c>
      <c r="C71" s="59">
        <f>18362334947.11</f>
        <v>18362334947.110001</v>
      </c>
      <c r="D71" s="59">
        <f>4822248071.15</f>
        <v>4822248071.1499996</v>
      </c>
      <c r="E71" s="59">
        <f>9919467210.44</f>
        <v>9919467210.4400005</v>
      </c>
      <c r="F71" s="59">
        <f>128820514.38</f>
        <v>128820514.38</v>
      </c>
      <c r="G71" s="59">
        <f>47560.6</f>
        <v>47560.6</v>
      </c>
      <c r="H71" s="59">
        <f>78301.1</f>
        <v>78301.100000000006</v>
      </c>
      <c r="I71" s="70">
        <f>0</f>
        <v>0</v>
      </c>
      <c r="J71" s="52">
        <f t="shared" si="7"/>
        <v>10.134432259493638</v>
      </c>
      <c r="K71" s="52">
        <f t="shared" si="8"/>
        <v>26.261627865082378</v>
      </c>
      <c r="N71" s="74"/>
    </row>
    <row r="72" spans="2:26" ht="13.5" customHeight="1" outlineLevel="1" x14ac:dyDescent="0.2">
      <c r="B72" s="54" t="s">
        <v>37</v>
      </c>
      <c r="C72" s="24">
        <f>2659861986.83</f>
        <v>2659861986.8299999</v>
      </c>
      <c r="D72" s="24">
        <f>316943537.68</f>
        <v>316943537.68000001</v>
      </c>
      <c r="E72" s="24">
        <f>757104964.64</f>
        <v>757104964.63999999</v>
      </c>
      <c r="F72" s="24">
        <f>85536988.14</f>
        <v>85536988.140000001</v>
      </c>
      <c r="G72" s="24">
        <f>0</f>
        <v>0</v>
      </c>
      <c r="H72" s="24">
        <f>2485.96</f>
        <v>2485.96</v>
      </c>
      <c r="I72" s="71">
        <f>0</f>
        <v>0</v>
      </c>
      <c r="J72" s="52">
        <f t="shared" si="7"/>
        <v>0.66608825703490371</v>
      </c>
      <c r="K72" s="52">
        <f t="shared" si="8"/>
        <v>11.915788836011394</v>
      </c>
      <c r="N72" s="75"/>
    </row>
    <row r="73" spans="2:26" ht="24" customHeight="1" outlineLevel="1" x14ac:dyDescent="0.2">
      <c r="B73" s="54" t="s">
        <v>55</v>
      </c>
      <c r="C73" s="59">
        <f>139707477.6</f>
        <v>139707477.59999999</v>
      </c>
      <c r="D73" s="59">
        <f>315392.46</f>
        <v>315392.46000000002</v>
      </c>
      <c r="E73" s="59">
        <f>8053906.45</f>
        <v>8053906.4500000002</v>
      </c>
      <c r="F73" s="59">
        <f>0</f>
        <v>0</v>
      </c>
      <c r="G73" s="59">
        <f>0</f>
        <v>0</v>
      </c>
      <c r="H73" s="59">
        <f>0</f>
        <v>0</v>
      </c>
      <c r="I73" s="70">
        <f>0</f>
        <v>0</v>
      </c>
      <c r="J73" s="52">
        <f t="shared" si="7"/>
        <v>6.628285135614777E-4</v>
      </c>
      <c r="K73" s="52">
        <f t="shared" si="8"/>
        <v>0.22575202517291748</v>
      </c>
      <c r="N73" s="74"/>
    </row>
    <row r="74" spans="2:26" ht="22.5" outlineLevel="1" x14ac:dyDescent="0.2">
      <c r="B74" s="54" t="s">
        <v>56</v>
      </c>
      <c r="C74" s="59">
        <f>15126938284.76</f>
        <v>15126938284.76</v>
      </c>
      <c r="D74" s="59">
        <f>4476654096.73</f>
        <v>4476654096.7299995</v>
      </c>
      <c r="E74" s="59">
        <f>10061103501.75</f>
        <v>10061103501.75</v>
      </c>
      <c r="F74" s="59">
        <f>250874263.64</f>
        <v>250874263.63999999</v>
      </c>
      <c r="G74" s="59">
        <f>457083.74</f>
        <v>457083.74</v>
      </c>
      <c r="H74" s="59">
        <f>46873.36</f>
        <v>46873.36</v>
      </c>
      <c r="I74" s="72">
        <f>0</f>
        <v>0</v>
      </c>
      <c r="J74" s="52">
        <f t="shared" si="7"/>
        <v>9.4081322700753365</v>
      </c>
      <c r="K74" s="52">
        <f t="shared" si="8"/>
        <v>29.593920543988158</v>
      </c>
      <c r="N74" s="74"/>
    </row>
    <row r="75" spans="2:26" ht="13.5" customHeight="1" outlineLevel="1" x14ac:dyDescent="0.2">
      <c r="B75" s="54" t="s">
        <v>36</v>
      </c>
      <c r="C75" s="24">
        <f t="shared" ref="C75:I75" si="10">C69-C70-C71-C72-C73-C74</f>
        <v>54477308766.02018</v>
      </c>
      <c r="D75" s="24">
        <f>D69-D70-D71-D72-D73-D74</f>
        <v>10193136331.410009</v>
      </c>
      <c r="E75" s="24">
        <f>E69-E70-E71-E72-E73-E74</f>
        <v>25038829384.779999</v>
      </c>
      <c r="F75" s="24">
        <f t="shared" si="10"/>
        <v>1477618050.1199999</v>
      </c>
      <c r="G75" s="24">
        <f t="shared" si="10"/>
        <v>4014525.5700000003</v>
      </c>
      <c r="H75" s="24">
        <f t="shared" si="10"/>
        <v>4017768.6599999997</v>
      </c>
      <c r="I75" s="70">
        <f t="shared" si="10"/>
        <v>0</v>
      </c>
      <c r="J75" s="52">
        <f t="shared" si="7"/>
        <v>21.421886252696055</v>
      </c>
      <c r="K75" s="52">
        <f t="shared" si="8"/>
        <v>18.71079273609034</v>
      </c>
      <c r="N75" s="75"/>
    </row>
    <row r="76" spans="2:26" ht="18" customHeight="1" x14ac:dyDescent="0.2">
      <c r="B76" s="83" t="s">
        <v>15</v>
      </c>
      <c r="C76" s="26">
        <f>C6-C66</f>
        <v>-17208629546.720001</v>
      </c>
      <c r="D76" s="26">
        <f>D6-D66</f>
        <v>22223196130.729996</v>
      </c>
      <c r="E76" s="80"/>
      <c r="F76" s="60"/>
      <c r="G76" s="60"/>
      <c r="H76" s="60"/>
      <c r="I76" s="81"/>
      <c r="J76" s="28"/>
      <c r="K76" s="28"/>
      <c r="L76" s="13"/>
      <c r="N76" s="60"/>
    </row>
    <row r="77" spans="2:26" ht="25.5" x14ac:dyDescent="0.2">
      <c r="B77" s="86" t="s">
        <v>122</v>
      </c>
      <c r="C77" s="26">
        <f>+C57-C69</f>
        <v>9939493250.1799011</v>
      </c>
      <c r="D77" s="26">
        <f>+D57-D69</f>
        <v>23353617074.05999</v>
      </c>
      <c r="E77" s="80"/>
      <c r="F77" s="60"/>
      <c r="G77" s="60"/>
      <c r="H77" s="60"/>
      <c r="I77" s="60"/>
      <c r="J77" s="28"/>
      <c r="K77" s="28"/>
      <c r="L77" s="13"/>
      <c r="N77" s="60"/>
    </row>
    <row r="78" spans="2:26" outlineLevel="1" x14ac:dyDescent="0.2">
      <c r="B78" s="105"/>
      <c r="C78" s="60"/>
      <c r="D78" s="60"/>
      <c r="E78" s="60"/>
      <c r="F78" s="60"/>
      <c r="G78" s="60"/>
      <c r="H78" s="60"/>
      <c r="I78" s="60"/>
      <c r="J78" s="28"/>
      <c r="K78" s="28"/>
      <c r="L78" s="13"/>
      <c r="N78" s="60"/>
    </row>
    <row r="79" spans="2:26" outlineLevel="1" x14ac:dyDescent="0.2">
      <c r="B79" s="105"/>
      <c r="C79" s="60"/>
      <c r="D79" s="60"/>
      <c r="E79" s="60"/>
      <c r="F79" s="60"/>
      <c r="G79" s="60"/>
      <c r="H79" s="60"/>
      <c r="I79" s="60"/>
      <c r="J79" s="28"/>
      <c r="K79" s="28"/>
      <c r="L79" s="13"/>
      <c r="N79" s="60"/>
    </row>
    <row r="80" spans="2:26" ht="12.75" customHeight="1" outlineLevel="1" x14ac:dyDescent="0.2">
      <c r="B80" s="138" t="s">
        <v>119</v>
      </c>
      <c r="C80" s="139" t="s">
        <v>104</v>
      </c>
      <c r="D80" s="139"/>
      <c r="E80" s="139" t="s">
        <v>105</v>
      </c>
      <c r="F80" s="139"/>
      <c r="G80" s="106" t="s">
        <v>123</v>
      </c>
      <c r="H80" s="60"/>
      <c r="I80" s="28"/>
      <c r="J80" s="28"/>
      <c r="K80" s="13"/>
      <c r="M80" s="60"/>
    </row>
    <row r="81" spans="1:14" outlineLevel="1" x14ac:dyDescent="0.2">
      <c r="B81" s="138"/>
      <c r="C81" s="107" t="s">
        <v>106</v>
      </c>
      <c r="D81" s="107" t="s">
        <v>107</v>
      </c>
      <c r="E81" s="107" t="s">
        <v>106</v>
      </c>
      <c r="F81" s="107" t="s">
        <v>107</v>
      </c>
      <c r="G81" s="107" t="s">
        <v>106</v>
      </c>
      <c r="H81" s="60"/>
      <c r="I81" s="28"/>
      <c r="J81" s="28"/>
      <c r="K81" s="13"/>
      <c r="M81" s="60"/>
    </row>
    <row r="82" spans="1:14" outlineLevel="1" x14ac:dyDescent="0.2">
      <c r="B82" s="110" t="s">
        <v>118</v>
      </c>
      <c r="C82" s="108">
        <f>259</f>
        <v>259</v>
      </c>
      <c r="D82" s="111">
        <f>348898819.87</f>
        <v>348898819.87</v>
      </c>
      <c r="E82" s="108">
        <f>2141</f>
        <v>2141</v>
      </c>
      <c r="F82" s="111">
        <f>+-17557528366.59</f>
        <v>-17557528366.59</v>
      </c>
      <c r="G82" s="108">
        <f>13</f>
        <v>13</v>
      </c>
      <c r="H82" s="60"/>
      <c r="I82" s="28"/>
      <c r="J82" s="28"/>
      <c r="K82" s="13"/>
      <c r="M82" s="60"/>
    </row>
    <row r="83" spans="1:14" outlineLevel="1" x14ac:dyDescent="0.2">
      <c r="B83" s="110" t="s">
        <v>120</v>
      </c>
      <c r="C83" s="108">
        <f>2393</f>
        <v>2393</v>
      </c>
      <c r="D83" s="111">
        <f>22320161324.13</f>
        <v>22320161324.130001</v>
      </c>
      <c r="E83" s="108">
        <f>20</f>
        <v>20</v>
      </c>
      <c r="F83" s="111">
        <f>+-96965193.4</f>
        <v>-96965193.400000006</v>
      </c>
      <c r="G83" s="108">
        <f>0</f>
        <v>0</v>
      </c>
      <c r="H83" s="60"/>
      <c r="I83" s="28"/>
      <c r="J83" s="28"/>
      <c r="K83" s="13"/>
      <c r="M83" s="60"/>
    </row>
    <row r="84" spans="1:14" outlineLevel="1" x14ac:dyDescent="0.2">
      <c r="A84" s="33"/>
      <c r="B84" s="109"/>
      <c r="C84" s="109"/>
      <c r="D84" s="109"/>
      <c r="E84" s="109"/>
      <c r="F84" s="109"/>
      <c r="G84" s="109"/>
      <c r="H84" s="60"/>
      <c r="I84" s="28"/>
      <c r="J84" s="28"/>
      <c r="K84" s="13"/>
      <c r="M84" s="60"/>
    </row>
    <row r="85" spans="1:14" ht="12.75" customHeight="1" outlineLevel="1" x14ac:dyDescent="0.2">
      <c r="A85" s="33"/>
      <c r="B85" s="138" t="s">
        <v>121</v>
      </c>
      <c r="C85" s="139" t="s">
        <v>104</v>
      </c>
      <c r="D85" s="139"/>
      <c r="E85" s="139" t="s">
        <v>105</v>
      </c>
      <c r="F85" s="139"/>
      <c r="G85" s="106" t="s">
        <v>123</v>
      </c>
      <c r="H85" s="60"/>
      <c r="I85" s="28"/>
      <c r="J85" s="28"/>
      <c r="K85" s="13"/>
      <c r="M85" s="60"/>
    </row>
    <row r="86" spans="1:14" outlineLevel="1" x14ac:dyDescent="0.2">
      <c r="A86" s="33"/>
      <c r="B86" s="138"/>
      <c r="C86" s="107" t="s">
        <v>106</v>
      </c>
      <c r="D86" s="107" t="s">
        <v>107</v>
      </c>
      <c r="E86" s="107" t="s">
        <v>106</v>
      </c>
      <c r="F86" s="107" t="s">
        <v>107</v>
      </c>
      <c r="G86" s="107" t="s">
        <v>106</v>
      </c>
      <c r="H86" s="60"/>
      <c r="I86" s="28"/>
      <c r="J86" s="28"/>
      <c r="K86" s="13"/>
      <c r="M86" s="60"/>
    </row>
    <row r="87" spans="1:14" outlineLevel="1" x14ac:dyDescent="0.2">
      <c r="A87" s="33"/>
      <c r="B87" s="110" t="s">
        <v>118</v>
      </c>
      <c r="C87" s="108">
        <f>2110</f>
        <v>2110</v>
      </c>
      <c r="D87" s="111">
        <f>10372203590.29</f>
        <v>10372203590.290001</v>
      </c>
      <c r="E87" s="108">
        <f>303</f>
        <v>303</v>
      </c>
      <c r="F87" s="111">
        <f>+-432710340.11</f>
        <v>-432710340.11000001</v>
      </c>
      <c r="G87" s="108">
        <f>0</f>
        <v>0</v>
      </c>
      <c r="H87" s="60"/>
      <c r="I87" s="28"/>
      <c r="J87" s="28"/>
      <c r="K87" s="13"/>
      <c r="M87" s="60"/>
    </row>
    <row r="88" spans="1:14" outlineLevel="1" x14ac:dyDescent="0.2">
      <c r="A88" s="33"/>
      <c r="B88" s="110" t="s">
        <v>120</v>
      </c>
      <c r="C88" s="108">
        <f>2413</f>
        <v>2413</v>
      </c>
      <c r="D88" s="111">
        <f>23353617074.06</f>
        <v>23353617074.060001</v>
      </c>
      <c r="E88" s="108">
        <f>0</f>
        <v>0</v>
      </c>
      <c r="F88" s="111">
        <f>0</f>
        <v>0</v>
      </c>
      <c r="G88" s="108">
        <f>0</f>
        <v>0</v>
      </c>
      <c r="H88" s="60"/>
      <c r="I88" s="28"/>
      <c r="J88" s="28"/>
      <c r="K88" s="13"/>
      <c r="M88" s="60"/>
    </row>
    <row r="89" spans="1:14" outlineLevel="1" x14ac:dyDescent="0.2">
      <c r="B89" s="105"/>
      <c r="C89" s="60"/>
      <c r="D89" s="60"/>
      <c r="E89" s="60"/>
      <c r="F89" s="60"/>
      <c r="G89" s="60"/>
      <c r="H89" s="60"/>
      <c r="I89" s="60"/>
      <c r="J89" s="28"/>
      <c r="K89" s="28"/>
      <c r="L89" s="13"/>
      <c r="N89" s="60"/>
    </row>
    <row r="90" spans="1:14" x14ac:dyDescent="0.2">
      <c r="B90" s="105"/>
      <c r="C90" s="60"/>
      <c r="D90" s="60"/>
      <c r="E90" s="60"/>
      <c r="F90" s="60"/>
      <c r="G90" s="60"/>
      <c r="H90" s="60"/>
      <c r="I90" s="60"/>
      <c r="J90" s="28"/>
      <c r="K90" s="28"/>
      <c r="L90" s="13"/>
      <c r="N90" s="60"/>
    </row>
    <row r="91" spans="1:14" ht="14.25" customHeight="1" x14ac:dyDescent="0.2">
      <c r="B91" s="102" t="s">
        <v>91</v>
      </c>
      <c r="C91" s="103"/>
      <c r="D91" s="103"/>
      <c r="E91" s="103"/>
      <c r="F91" s="103"/>
      <c r="G91" s="60"/>
      <c r="H91" s="60"/>
      <c r="I91" s="60"/>
      <c r="J91" s="60"/>
      <c r="K91" s="28"/>
      <c r="L91" s="28"/>
      <c r="M91" s="13"/>
    </row>
    <row r="92" spans="1:14" ht="27" customHeight="1" x14ac:dyDescent="0.2">
      <c r="B92" s="83" t="s">
        <v>87</v>
      </c>
      <c r="C92" s="41">
        <f>22522174629.0899</f>
        <v>22522174629.089901</v>
      </c>
      <c r="D92" s="41">
        <f>1332428996.28</f>
        <v>1332428996.28</v>
      </c>
      <c r="E92" s="41">
        <f>7184378651.02001</f>
        <v>7184378651.02001</v>
      </c>
      <c r="F92" s="41">
        <f>286099739.21</f>
        <v>286099739.20999998</v>
      </c>
      <c r="G92" s="41">
        <f>194705</f>
        <v>194705</v>
      </c>
      <c r="H92" s="41">
        <f>15271.15</f>
        <v>15271.15</v>
      </c>
      <c r="I92" s="41">
        <f>0</f>
        <v>0</v>
      </c>
      <c r="J92" s="61">
        <f>IF($D$92=0,"",100*$D92/$D$92)</f>
        <v>100</v>
      </c>
      <c r="K92" s="61">
        <f>IF(C92=0,"",100*D92/C92)</f>
        <v>5.9160761259661818</v>
      </c>
      <c r="L92" s="13"/>
    </row>
    <row r="93" spans="1:14" ht="15" customHeight="1" x14ac:dyDescent="0.2">
      <c r="B93" s="87" t="s">
        <v>59</v>
      </c>
      <c r="C93" s="22">
        <f>19753568516.33</f>
        <v>19753568516.330002</v>
      </c>
      <c r="D93" s="22">
        <f>947491010.060001</f>
        <v>947491010.06000102</v>
      </c>
      <c r="E93" s="22">
        <f>6227421848.15999</f>
        <v>6227421848.1599903</v>
      </c>
      <c r="F93" s="22">
        <f>259386088.25</f>
        <v>259386088.25</v>
      </c>
      <c r="G93" s="22">
        <f>194705</f>
        <v>194705</v>
      </c>
      <c r="H93" s="22">
        <f>0</f>
        <v>0</v>
      </c>
      <c r="I93" s="22">
        <f>0</f>
        <v>0</v>
      </c>
      <c r="J93" s="61">
        <f>IF($D$92=0,"",100*$D93/$D$92)</f>
        <v>71.110056348615586</v>
      </c>
      <c r="K93" s="61">
        <f>IF(C93=0,"",100*D93/C93)</f>
        <v>4.7965561730110862</v>
      </c>
      <c r="L93" s="13"/>
    </row>
    <row r="94" spans="1:14" ht="14.25" customHeight="1" x14ac:dyDescent="0.2">
      <c r="B94" s="88" t="s">
        <v>60</v>
      </c>
      <c r="C94" s="22">
        <f>+C92-C93</f>
        <v>2768606112.7598991</v>
      </c>
      <c r="D94" s="22">
        <f t="shared" ref="D94:I94" si="11">+D92-D93</f>
        <v>384937986.21999896</v>
      </c>
      <c r="E94" s="22">
        <f t="shared" si="11"/>
        <v>956956802.86001968</v>
      </c>
      <c r="F94" s="22">
        <f t="shared" si="11"/>
        <v>26713650.959999979</v>
      </c>
      <c r="G94" s="22">
        <f t="shared" si="11"/>
        <v>0</v>
      </c>
      <c r="H94" s="22">
        <f t="shared" si="11"/>
        <v>15271.15</v>
      </c>
      <c r="I94" s="22">
        <f t="shared" si="11"/>
        <v>0</v>
      </c>
      <c r="J94" s="61">
        <f>IF($D$92=0,"",100*$D94/$D$92)</f>
        <v>28.889943651384414</v>
      </c>
      <c r="K94" s="61">
        <f>IF(C94=0,"",100*D94/C94)</f>
        <v>13.903674648622065</v>
      </c>
      <c r="L94" s="10"/>
    </row>
    <row r="95" spans="1:14" ht="15" x14ac:dyDescent="0.2">
      <c r="B95" s="90" t="str">
        <f>CONCATENATE("Informacja z wykonania budżetów gmin za ",$D$131," ",$C$132," rok     ",$C$134,"")</f>
        <v xml:space="preserve">Informacja z wykonania budżetów gmin za I Kwartał 2026 rok     </v>
      </c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</row>
    <row r="97" spans="2:13" ht="18" customHeight="1" x14ac:dyDescent="0.2">
      <c r="B97" s="40" t="s">
        <v>16</v>
      </c>
      <c r="C97" s="66" t="s">
        <v>17</v>
      </c>
      <c r="D97" s="66" t="s">
        <v>1</v>
      </c>
      <c r="E97" s="118" t="s">
        <v>45</v>
      </c>
      <c r="F97" s="119"/>
      <c r="G97" s="119"/>
      <c r="H97" s="119"/>
      <c r="I97" s="120"/>
      <c r="J97" s="19" t="s">
        <v>22</v>
      </c>
      <c r="K97" s="19" t="s">
        <v>23</v>
      </c>
    </row>
    <row r="98" spans="2:13" ht="13.5" customHeight="1" x14ac:dyDescent="0.2">
      <c r="B98" s="40"/>
      <c r="C98" s="116" t="s">
        <v>61</v>
      </c>
      <c r="D98" s="131"/>
      <c r="E98" s="121"/>
      <c r="F98" s="122"/>
      <c r="G98" s="122"/>
      <c r="H98" s="122"/>
      <c r="I98" s="123"/>
      <c r="J98" s="116" t="s">
        <v>4</v>
      </c>
      <c r="K98" s="136"/>
      <c r="M98" s="14"/>
    </row>
    <row r="99" spans="2:13" ht="11.25" customHeight="1" x14ac:dyDescent="0.2">
      <c r="B99" s="39">
        <v>1</v>
      </c>
      <c r="C99" s="42">
        <v>2</v>
      </c>
      <c r="D99" s="42">
        <v>3</v>
      </c>
      <c r="E99" s="124"/>
      <c r="F99" s="125"/>
      <c r="G99" s="125"/>
      <c r="H99" s="125"/>
      <c r="I99" s="126"/>
      <c r="J99" s="31">
        <v>4</v>
      </c>
      <c r="K99" s="31">
        <v>5</v>
      </c>
      <c r="M99" s="10"/>
    </row>
    <row r="100" spans="2:13" ht="27" customHeight="1" x14ac:dyDescent="0.2">
      <c r="B100" s="89" t="s">
        <v>50</v>
      </c>
      <c r="C100" s="43">
        <f>22223528562.67</f>
        <v>22223528562.669998</v>
      </c>
      <c r="D100" s="43">
        <f>23539237408.95</f>
        <v>23539237408.950001</v>
      </c>
      <c r="E100" s="43" t="s">
        <v>45</v>
      </c>
      <c r="F100" s="43" t="s">
        <v>45</v>
      </c>
      <c r="G100" s="43" t="s">
        <v>45</v>
      </c>
      <c r="H100" s="43" t="s">
        <v>45</v>
      </c>
      <c r="I100" s="43" t="s">
        <v>45</v>
      </c>
      <c r="J100" s="37">
        <f t="shared" ref="J100:J110" si="12">IF($D$100=0,"",100*$D100/$D$100)</f>
        <v>100</v>
      </c>
      <c r="K100" s="36">
        <f t="shared" ref="K100:K115" si="13">IF(C100=0,"",100*D100/C100)</f>
        <v>105.92034177907313</v>
      </c>
    </row>
    <row r="101" spans="2:13" ht="36" customHeight="1" x14ac:dyDescent="0.2">
      <c r="B101" s="97" t="s">
        <v>88</v>
      </c>
      <c r="C101" s="44">
        <f>11174196684.33</f>
        <v>11174196684.33</v>
      </c>
      <c r="D101" s="44">
        <f>263389157.15</f>
        <v>263389157.15000001</v>
      </c>
      <c r="E101" s="43" t="s">
        <v>45</v>
      </c>
      <c r="F101" s="43" t="s">
        <v>45</v>
      </c>
      <c r="G101" s="43" t="s">
        <v>45</v>
      </c>
      <c r="H101" s="43" t="s">
        <v>45</v>
      </c>
      <c r="I101" s="43" t="s">
        <v>45</v>
      </c>
      <c r="J101" s="50">
        <f t="shared" si="12"/>
        <v>1.1189366612609768</v>
      </c>
      <c r="K101" s="51">
        <f t="shared" si="13"/>
        <v>2.3571193938205921</v>
      </c>
    </row>
    <row r="102" spans="2:13" ht="22.5" x14ac:dyDescent="0.2">
      <c r="B102" s="98" t="s">
        <v>68</v>
      </c>
      <c r="C102" s="62">
        <f>441127803.03</f>
        <v>441127803.02999997</v>
      </c>
      <c r="D102" s="62">
        <f>0</f>
        <v>0</v>
      </c>
      <c r="E102" s="43" t="s">
        <v>45</v>
      </c>
      <c r="F102" s="43" t="s">
        <v>45</v>
      </c>
      <c r="G102" s="43" t="s">
        <v>45</v>
      </c>
      <c r="H102" s="43" t="s">
        <v>45</v>
      </c>
      <c r="I102" s="43" t="s">
        <v>45</v>
      </c>
      <c r="J102" s="63">
        <f t="shared" si="12"/>
        <v>0</v>
      </c>
      <c r="K102" s="58">
        <f t="shared" si="13"/>
        <v>0</v>
      </c>
    </row>
    <row r="103" spans="2:13" ht="13.5" customHeight="1" x14ac:dyDescent="0.2">
      <c r="B103" s="99" t="s">
        <v>69</v>
      </c>
      <c r="C103" s="62">
        <f>141306337.04</f>
        <v>141306337.03999999</v>
      </c>
      <c r="D103" s="62">
        <f>7149637.01</f>
        <v>7149637.0099999998</v>
      </c>
      <c r="E103" s="43" t="s">
        <v>45</v>
      </c>
      <c r="F103" s="43" t="s">
        <v>45</v>
      </c>
      <c r="G103" s="43" t="s">
        <v>45</v>
      </c>
      <c r="H103" s="43" t="s">
        <v>45</v>
      </c>
      <c r="I103" s="43" t="s">
        <v>45</v>
      </c>
      <c r="J103" s="63">
        <f t="shared" si="12"/>
        <v>3.037327372076035E-2</v>
      </c>
      <c r="K103" s="58">
        <f t="shared" si="13"/>
        <v>5.0596718871681823</v>
      </c>
    </row>
    <row r="104" spans="2:13" ht="50.1" customHeight="1" x14ac:dyDescent="0.2">
      <c r="B104" s="99" t="s">
        <v>83</v>
      </c>
      <c r="C104" s="62">
        <f>3036944464.74</f>
        <v>3036944464.7399998</v>
      </c>
      <c r="D104" s="62">
        <f>8371861209.94</f>
        <v>8371861209.9399996</v>
      </c>
      <c r="E104" s="43" t="s">
        <v>45</v>
      </c>
      <c r="F104" s="43" t="s">
        <v>45</v>
      </c>
      <c r="G104" s="43" t="s">
        <v>45</v>
      </c>
      <c r="H104" s="43" t="s">
        <v>45</v>
      </c>
      <c r="I104" s="43" t="s">
        <v>45</v>
      </c>
      <c r="J104" s="63">
        <f t="shared" si="12"/>
        <v>35.565558324998591</v>
      </c>
      <c r="K104" s="58">
        <f t="shared" si="13"/>
        <v>275.66724736458872</v>
      </c>
    </row>
    <row r="105" spans="2:13" ht="35.1" customHeight="1" x14ac:dyDescent="0.2">
      <c r="B105" s="99" t="s">
        <v>98</v>
      </c>
      <c r="C105" s="62">
        <f>1972940961.73</f>
        <v>1972940961.73</v>
      </c>
      <c r="D105" s="62">
        <f>2616044199.73</f>
        <v>2616044199.73</v>
      </c>
      <c r="E105" s="43" t="s">
        <v>45</v>
      </c>
      <c r="F105" s="43" t="s">
        <v>45</v>
      </c>
      <c r="G105" s="43" t="s">
        <v>45</v>
      </c>
      <c r="H105" s="43" t="s">
        <v>45</v>
      </c>
      <c r="I105" s="43" t="s">
        <v>45</v>
      </c>
      <c r="J105" s="63">
        <f t="shared" si="12"/>
        <v>11.113546944113565</v>
      </c>
      <c r="K105" s="58">
        <f t="shared" si="13"/>
        <v>132.59617243873765</v>
      </c>
    </row>
    <row r="106" spans="2:13" ht="13.5" customHeight="1" x14ac:dyDescent="0.2">
      <c r="B106" s="99" t="s">
        <v>70</v>
      </c>
      <c r="C106" s="62">
        <f>0</f>
        <v>0</v>
      </c>
      <c r="D106" s="62">
        <f>0</f>
        <v>0</v>
      </c>
      <c r="E106" s="43" t="s">
        <v>45</v>
      </c>
      <c r="F106" s="43" t="s">
        <v>45</v>
      </c>
      <c r="G106" s="43" t="s">
        <v>45</v>
      </c>
      <c r="H106" s="43" t="s">
        <v>45</v>
      </c>
      <c r="I106" s="43" t="s">
        <v>45</v>
      </c>
      <c r="J106" s="63">
        <f t="shared" si="12"/>
        <v>0</v>
      </c>
      <c r="K106" s="58" t="str">
        <f t="shared" si="13"/>
        <v/>
      </c>
    </row>
    <row r="107" spans="2:13" ht="35.1" customHeight="1" x14ac:dyDescent="0.2">
      <c r="B107" s="99" t="s">
        <v>77</v>
      </c>
      <c r="C107" s="62">
        <f>5386565314.69</f>
        <v>5386565314.6899996</v>
      </c>
      <c r="D107" s="62">
        <f>11609921644.34</f>
        <v>11609921644.34</v>
      </c>
      <c r="E107" s="43" t="s">
        <v>45</v>
      </c>
      <c r="F107" s="43" t="s">
        <v>45</v>
      </c>
      <c r="G107" s="43" t="s">
        <v>45</v>
      </c>
      <c r="H107" s="43" t="s">
        <v>45</v>
      </c>
      <c r="I107" s="43" t="s">
        <v>45</v>
      </c>
      <c r="J107" s="63">
        <f t="shared" si="12"/>
        <v>49.321570799594888</v>
      </c>
      <c r="K107" s="58">
        <f t="shared" si="13"/>
        <v>215.53477895604351</v>
      </c>
    </row>
    <row r="108" spans="2:13" ht="56.25" x14ac:dyDescent="0.2">
      <c r="B108" s="99" t="s">
        <v>99</v>
      </c>
      <c r="C108" s="62">
        <f>0</f>
        <v>0</v>
      </c>
      <c r="D108" s="62">
        <f>104194006.83</f>
        <v>104194006.83</v>
      </c>
      <c r="E108" s="43" t="s">
        <v>45</v>
      </c>
      <c r="F108" s="43" t="s">
        <v>45</v>
      </c>
      <c r="G108" s="43" t="s">
        <v>45</v>
      </c>
      <c r="H108" s="43" t="s">
        <v>45</v>
      </c>
      <c r="I108" s="43" t="s">
        <v>45</v>
      </c>
      <c r="J108" s="63"/>
      <c r="K108" s="58"/>
    </row>
    <row r="109" spans="2:13" x14ac:dyDescent="0.2">
      <c r="B109" s="99" t="s">
        <v>93</v>
      </c>
      <c r="C109" s="62">
        <f>511574800.14</f>
        <v>511574800.13999999</v>
      </c>
      <c r="D109" s="62">
        <f>566677553.95</f>
        <v>566677553.95000005</v>
      </c>
      <c r="E109" s="43" t="s">
        <v>45</v>
      </c>
      <c r="F109" s="43" t="s">
        <v>45</v>
      </c>
      <c r="G109" s="43" t="s">
        <v>45</v>
      </c>
      <c r="H109" s="43" t="s">
        <v>45</v>
      </c>
      <c r="I109" s="43" t="s">
        <v>45</v>
      </c>
      <c r="J109" s="63"/>
      <c r="K109" s="58"/>
    </row>
    <row r="110" spans="2:13" ht="22.5" x14ac:dyDescent="0.2">
      <c r="B110" s="98" t="s">
        <v>94</v>
      </c>
      <c r="C110" s="62">
        <f>509777936.63</f>
        <v>509777936.63</v>
      </c>
      <c r="D110" s="62">
        <f>492819925.63</f>
        <v>492819925.63</v>
      </c>
      <c r="E110" s="43" t="s">
        <v>45</v>
      </c>
      <c r="F110" s="43" t="s">
        <v>45</v>
      </c>
      <c r="G110" s="43" t="s">
        <v>45</v>
      </c>
      <c r="H110" s="43" t="s">
        <v>45</v>
      </c>
      <c r="I110" s="43" t="s">
        <v>45</v>
      </c>
      <c r="J110" s="63">
        <f t="shared" si="12"/>
        <v>2.0936104134054143</v>
      </c>
      <c r="K110" s="58">
        <f t="shared" si="13"/>
        <v>96.673451363528073</v>
      </c>
    </row>
    <row r="111" spans="2:13" ht="27" customHeight="1" x14ac:dyDescent="0.2">
      <c r="B111" s="89" t="s">
        <v>51</v>
      </c>
      <c r="C111" s="49">
        <f>5015415448.95</f>
        <v>5015415448.9499998</v>
      </c>
      <c r="D111" s="49">
        <f>2395260983.37</f>
        <v>2395260983.3699999</v>
      </c>
      <c r="E111" s="43" t="s">
        <v>45</v>
      </c>
      <c r="F111" s="43" t="s">
        <v>45</v>
      </c>
      <c r="G111" s="43" t="s">
        <v>45</v>
      </c>
      <c r="H111" s="43" t="s">
        <v>45</v>
      </c>
      <c r="I111" s="43" t="s">
        <v>45</v>
      </c>
      <c r="J111" s="37">
        <f t="shared" ref="J111:J116" si="14">IF($D$111=0,"",100*$D111/$D$111)</f>
        <v>100</v>
      </c>
      <c r="K111" s="36">
        <f t="shared" si="13"/>
        <v>47.757977534472424</v>
      </c>
    </row>
    <row r="112" spans="2:13" ht="36" customHeight="1" x14ac:dyDescent="0.2">
      <c r="B112" s="97" t="s">
        <v>85</v>
      </c>
      <c r="C112" s="44">
        <f>4773651577.07</f>
        <v>4773651577.0699997</v>
      </c>
      <c r="D112" s="48">
        <f>1180836169.72</f>
        <v>1180836169.72</v>
      </c>
      <c r="E112" s="43" t="s">
        <v>45</v>
      </c>
      <c r="F112" s="43" t="s">
        <v>45</v>
      </c>
      <c r="G112" s="43" t="s">
        <v>45</v>
      </c>
      <c r="H112" s="43" t="s">
        <v>45</v>
      </c>
      <c r="I112" s="43" t="s">
        <v>45</v>
      </c>
      <c r="J112" s="50">
        <f t="shared" si="14"/>
        <v>49.298852104985599</v>
      </c>
      <c r="K112" s="51">
        <f t="shared" si="13"/>
        <v>24.736538699055632</v>
      </c>
    </row>
    <row r="113" spans="2:11" ht="13.5" customHeight="1" x14ac:dyDescent="0.2">
      <c r="B113" s="98" t="s">
        <v>71</v>
      </c>
      <c r="C113" s="62">
        <f>166876192.72</f>
        <v>166876192.72</v>
      </c>
      <c r="D113" s="62">
        <f>9370000</f>
        <v>9370000</v>
      </c>
      <c r="E113" s="43" t="s">
        <v>45</v>
      </c>
      <c r="F113" s="43" t="s">
        <v>45</v>
      </c>
      <c r="G113" s="43" t="s">
        <v>45</v>
      </c>
      <c r="H113" s="43" t="s">
        <v>45</v>
      </c>
      <c r="I113" s="43" t="s">
        <v>45</v>
      </c>
      <c r="J113" s="63">
        <f t="shared" si="14"/>
        <v>0.39118910486392711</v>
      </c>
      <c r="K113" s="58">
        <f t="shared" si="13"/>
        <v>5.6149411412578401</v>
      </c>
    </row>
    <row r="114" spans="2:11" ht="13.5" customHeight="1" x14ac:dyDescent="0.2">
      <c r="B114" s="99" t="s">
        <v>72</v>
      </c>
      <c r="C114" s="62">
        <f>77921962.88</f>
        <v>77921962.879999995</v>
      </c>
      <c r="D114" s="62">
        <f>31207134.3</f>
        <v>31207134.300000001</v>
      </c>
      <c r="E114" s="43" t="s">
        <v>45</v>
      </c>
      <c r="F114" s="43" t="s">
        <v>45</v>
      </c>
      <c r="G114" s="43" t="s">
        <v>45</v>
      </c>
      <c r="H114" s="43" t="s">
        <v>45</v>
      </c>
      <c r="I114" s="43" t="s">
        <v>45</v>
      </c>
      <c r="J114" s="63">
        <f t="shared" si="14"/>
        <v>1.3028698967113508</v>
      </c>
      <c r="K114" s="58">
        <f t="shared" si="13"/>
        <v>40.049214812592773</v>
      </c>
    </row>
    <row r="115" spans="2:11" ht="13.5" customHeight="1" x14ac:dyDescent="0.2">
      <c r="B115" s="99" t="s">
        <v>97</v>
      </c>
      <c r="C115" s="62">
        <f>163841909</f>
        <v>163841909</v>
      </c>
      <c r="D115" s="62">
        <f>1183217679.35</f>
        <v>1183217679.3499999</v>
      </c>
      <c r="E115" s="43" t="s">
        <v>45</v>
      </c>
      <c r="F115" s="43" t="s">
        <v>45</v>
      </c>
      <c r="G115" s="43" t="s">
        <v>45</v>
      </c>
      <c r="H115" s="43" t="s">
        <v>45</v>
      </c>
      <c r="I115" s="43" t="s">
        <v>45</v>
      </c>
      <c r="J115" s="63">
        <f t="shared" si="14"/>
        <v>49.398277998303044</v>
      </c>
      <c r="K115" s="58">
        <f t="shared" si="13"/>
        <v>722.17034492072469</v>
      </c>
    </row>
    <row r="116" spans="2:11" ht="22.5" x14ac:dyDescent="0.2">
      <c r="B116" s="98" t="s">
        <v>95</v>
      </c>
      <c r="C116" s="62">
        <f>117615745.08</f>
        <v>117615745.08</v>
      </c>
      <c r="D116" s="62">
        <f>56050000</f>
        <v>56050000</v>
      </c>
      <c r="E116" s="43" t="s">
        <v>45</v>
      </c>
      <c r="F116" s="43" t="s">
        <v>45</v>
      </c>
      <c r="G116" s="43" t="s">
        <v>45</v>
      </c>
      <c r="H116" s="43" t="s">
        <v>45</v>
      </c>
      <c r="I116" s="43" t="s">
        <v>45</v>
      </c>
      <c r="J116" s="63">
        <f t="shared" si="14"/>
        <v>2.3400372814965968</v>
      </c>
      <c r="K116" s="58">
        <f>IF(C116=0,"",100*D116/C116)</f>
        <v>47.655184228842707</v>
      </c>
    </row>
    <row r="117" spans="2:11" ht="7.5" customHeight="1" x14ac:dyDescent="0.2"/>
    <row r="118" spans="2:11" x14ac:dyDescent="0.2">
      <c r="B118" s="40" t="s">
        <v>16</v>
      </c>
      <c r="C118" s="66" t="s">
        <v>17</v>
      </c>
      <c r="D118" s="19" t="s">
        <v>1</v>
      </c>
    </row>
    <row r="119" spans="2:11" x14ac:dyDescent="0.2">
      <c r="B119" s="40"/>
      <c r="C119" s="116" t="s">
        <v>61</v>
      </c>
      <c r="D119" s="131"/>
    </row>
    <row r="120" spans="2:11" x14ac:dyDescent="0.2">
      <c r="B120" s="39">
        <v>1</v>
      </c>
      <c r="C120" s="42">
        <v>2</v>
      </c>
      <c r="D120" s="31">
        <v>3</v>
      </c>
    </row>
    <row r="121" spans="2:11" ht="37.5" customHeight="1" x14ac:dyDescent="0.2">
      <c r="B121" s="100" t="s">
        <v>96</v>
      </c>
      <c r="C121" s="47">
        <f>17570402990.62</f>
        <v>17570402990.619999</v>
      </c>
      <c r="D121" s="27">
        <f>0</f>
        <v>0</v>
      </c>
    </row>
    <row r="122" spans="2:11" ht="36" customHeight="1" x14ac:dyDescent="0.2">
      <c r="B122" s="101" t="s">
        <v>63</v>
      </c>
      <c r="C122" s="48">
        <f>350591909.95</f>
        <v>350591909.94999999</v>
      </c>
      <c r="D122" s="73">
        <f>0</f>
        <v>0</v>
      </c>
    </row>
    <row r="123" spans="2:11" ht="13.5" customHeight="1" x14ac:dyDescent="0.2">
      <c r="B123" s="101" t="s">
        <v>64</v>
      </c>
      <c r="C123" s="48">
        <f>7975488221.74</f>
        <v>7975488221.7399998</v>
      </c>
      <c r="D123" s="73">
        <f>0</f>
        <v>0</v>
      </c>
    </row>
    <row r="124" spans="2:11" ht="25.5" customHeight="1" x14ac:dyDescent="0.2">
      <c r="B124" s="101" t="s">
        <v>65</v>
      </c>
      <c r="C124" s="48">
        <f>0</f>
        <v>0</v>
      </c>
      <c r="D124" s="73">
        <f>0</f>
        <v>0</v>
      </c>
    </row>
    <row r="125" spans="2:11" ht="57.95" customHeight="1" x14ac:dyDescent="0.2">
      <c r="B125" s="101" t="s">
        <v>81</v>
      </c>
      <c r="C125" s="48">
        <f>2844505491.3</f>
        <v>2844505491.3000002</v>
      </c>
      <c r="D125" s="73">
        <f>0</f>
        <v>0</v>
      </c>
    </row>
    <row r="126" spans="2:11" ht="81.95" customHeight="1" x14ac:dyDescent="0.2">
      <c r="B126" s="101" t="s">
        <v>66</v>
      </c>
      <c r="C126" s="48">
        <f>4119051888.57</f>
        <v>4119051888.5700002</v>
      </c>
      <c r="D126" s="73">
        <f>0</f>
        <v>0</v>
      </c>
    </row>
    <row r="127" spans="2:11" ht="150.94999999999999" customHeight="1" x14ac:dyDescent="0.2">
      <c r="B127" s="96" t="s">
        <v>86</v>
      </c>
      <c r="C127" s="48">
        <f>1803889104.95</f>
        <v>1803889104.95</v>
      </c>
      <c r="D127" s="73">
        <f>0</f>
        <v>0</v>
      </c>
    </row>
    <row r="128" spans="2:11" ht="22.5" x14ac:dyDescent="0.2">
      <c r="B128" s="96" t="s">
        <v>80</v>
      </c>
      <c r="C128" s="48">
        <f>72004957.32</f>
        <v>72004957.319999993</v>
      </c>
      <c r="D128" s="73">
        <f>0</f>
        <v>0</v>
      </c>
    </row>
    <row r="129" spans="2:4" ht="22.5" x14ac:dyDescent="0.2">
      <c r="B129" s="96" t="s">
        <v>94</v>
      </c>
      <c r="C129" s="48">
        <f>404871416.79</f>
        <v>404871416.79000002</v>
      </c>
      <c r="D129" s="73">
        <f>0</f>
        <v>0</v>
      </c>
    </row>
    <row r="130" spans="2:4" ht="28.5" customHeight="1" x14ac:dyDescent="0.2"/>
    <row r="131" spans="2:4" x14ac:dyDescent="0.2">
      <c r="B131" s="64" t="s">
        <v>52</v>
      </c>
      <c r="C131" s="33">
        <f>1</f>
        <v>1</v>
      </c>
      <c r="D131" s="33" t="str">
        <f>IF(C131=1,"I Kwartał",IF(C131=2,"II Kwartały",IF(C131=3,"III Kwartały",IF(C131=4,"IV Kwartały",IF(C131="M1","Styczeń",IF(C131="M11","Listopad",IF(C131="M12","Grudzień","-")))))))</f>
        <v>I Kwartał</v>
      </c>
    </row>
    <row r="132" spans="2:4" x14ac:dyDescent="0.2">
      <c r="B132" s="64" t="s">
        <v>53</v>
      </c>
      <c r="C132" s="91">
        <f>2026</f>
        <v>2026</v>
      </c>
    </row>
    <row r="133" spans="2:4" x14ac:dyDescent="0.2">
      <c r="B133" s="64" t="s">
        <v>54</v>
      </c>
      <c r="C133" s="112" t="str">
        <f>"May 18 2026 12:00AM"</f>
        <v>May 18 2026 12:00AM</v>
      </c>
      <c r="D133" s="113"/>
    </row>
    <row r="134" spans="2:4" hidden="1" x14ac:dyDescent="0.2">
      <c r="B134" s="1" t="s">
        <v>92</v>
      </c>
      <c r="C134" s="1" t="str">
        <f>""</f>
        <v/>
      </c>
    </row>
  </sheetData>
  <mergeCells count="26">
    <mergeCell ref="B3:B4"/>
    <mergeCell ref="C119:D119"/>
    <mergeCell ref="B61:B64"/>
    <mergeCell ref="C98:D98"/>
    <mergeCell ref="J4:L4"/>
    <mergeCell ref="I61:I63"/>
    <mergeCell ref="J64:K64"/>
    <mergeCell ref="C4:I4"/>
    <mergeCell ref="J98:K98"/>
    <mergeCell ref="J61:J63"/>
    <mergeCell ref="K61:K63"/>
    <mergeCell ref="B80:B81"/>
    <mergeCell ref="C80:D80"/>
    <mergeCell ref="E80:F80"/>
    <mergeCell ref="B85:B86"/>
    <mergeCell ref="C85:D85"/>
    <mergeCell ref="C133:D133"/>
    <mergeCell ref="D61:D63"/>
    <mergeCell ref="E61:E63"/>
    <mergeCell ref="F62:F63"/>
    <mergeCell ref="F61:H61"/>
    <mergeCell ref="G62:H62"/>
    <mergeCell ref="E97:I99"/>
    <mergeCell ref="C61:C63"/>
    <mergeCell ref="C64:I64"/>
    <mergeCell ref="E85:F85"/>
  </mergeCells>
  <phoneticPr fontId="0" type="noConversion"/>
  <printOptions horizontalCentered="1"/>
  <pageMargins left="0" right="0" top="0" bottom="0" header="0" footer="0"/>
  <pageSetup paperSize="9" scale="95" orientation="landscape" useFirstPageNumber="1" r:id="rId1"/>
  <headerFooter alignWithMargins="0">
    <oddFooter>&amp;RStrona &amp;P z &amp;N</oddFooter>
  </headerFooter>
  <rowBreaks count="5" manualBreakCount="5">
    <brk id="25" max="16383" man="1"/>
    <brk id="53" min="1" max="11" man="1"/>
    <brk id="58" max="16383" man="1"/>
    <brk id="94" max="16383" man="1"/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2025-02-07T08:52:30Z</cp:lastPrinted>
  <dcterms:created xsi:type="dcterms:W3CDTF">2001-05-17T08:58:03Z</dcterms:created>
  <dcterms:modified xsi:type="dcterms:W3CDTF">2026-05-29T11:55:23Z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2022-06-01T15:11:49.7443772+02:00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GRN-a157e64f-b2d8-4344-b63a-be4ab8451fe4</vt:lpwstr>
  </property>
  <property fmtid="{D5CDD505-2E9C-101B-9397-08002B2CF9AE}" pid="7" name="MFHash">
    <vt:lpwstr>lKoZPOlwMDvHqF38lv0pfu8g3MmyOnNc8oYSPpdBgYA=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