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3\III kwartał\Dane ostateczne 2023.11.14\BIP MF\Zbiorówki\"/>
    </mc:Choice>
  </mc:AlternateContent>
  <xr:revisionPtr revIDLastSave="0" documentId="13_ncr:1_{C09159C8-B525-40DA-84B2-0DBB1B6C79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 l="1"/>
  <c r="A30" i="7" l="1"/>
  <c r="A85" i="7"/>
  <c r="A66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<sst xmlns="http://schemas.openxmlformats.org/spreadsheetml/2006/main" count="97" uniqueCount="81">
  <si>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</si>
  <si>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sektora finansów publicznych (kol.5+7+8)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</si>
  <si>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</si>
  <si>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</si>
  <si>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</si>
  <si>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</si>
  <si>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</si>
  <si>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</si>
  <si>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</si>
  <si>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</si>
  <si>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</si>
  <si>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</si>
  <si>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</si>
  <si>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</si>
  <si>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</si>
  <si>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</si>
  <si>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</si>
  <si>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</si>
  <si>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</si>
  <si>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</si>
  <si>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</si>
  <si>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</si>
  <si>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</si>
  <si>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</si>
  <si>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</si>
  <si>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</si>
  <si>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</si>
  <si>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</si>
  <si>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</si>
  <si>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</si>
  <si>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</si>
  <si>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</si>
  <si>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</si>
  <si>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</si>
  <si>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</si>
  <si>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</si>
  <si>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</si>
  <si>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</si>
  <si>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</si>
  <si>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</si>
  <si>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</si>
  <si>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</si>
  <si>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</si>
  <si>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</si>
  <si>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</si>
  <si>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</si>
  <si>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</si>
  <si>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</si>
  <si>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</si>
  <si>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</si>
  <si>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</si>
  <si>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</si>
  <si>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</si>
  <si>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</si>
  <si>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</si>
  <si>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</si>
  <si>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</si>
  <si>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</si>
  <si>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</si>
  <si>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</si>
  <si>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</si>
  <si>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</si>
  <si>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</si>
  <si>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</si>
  <si>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</si>
  <si>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</si>
  <si>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</si>
  <si>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</si>
  <si>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</si>
  <si>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</si>
  <si>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</si>
  <si>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</si>
  <si>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wierzyciele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</si>
  <si>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</si>
  <si>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</si>
  <si>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</si>
  <si>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</si>
  <si>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</si>
  <si>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tytul</t>
  </si>
  <si>
    <t>w złotych</t>
  </si>
  <si>
    <t>E4  wymagalne zobowiązania (E4.1+E4.2)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</si>
</sst>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7" xfId="0" applyFont="1" applyFill="1" applyBorder="1" applyAlignment="1">
      <alignment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activeCell="A2" sqref="A2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4" width="12.42578125" style="2" customWidth="1"/>
    <col min="5" max="6" width="11.42578125" style="2" customWidth="1"/>
    <col min="7" max="7" width="12.7109375" style="2" customWidth="1"/>
    <col min="8" max="8" width="9.7109375" style="2" customWidth="1"/>
    <col min="9" max="9" width="10.7109375" style="2" customWidth="1"/>
    <col min="10" max="10" width="14" style="2" customWidth="1"/>
    <col min="11" max="11" width="12.140625" style="2" customWidth="1"/>
    <col min="12" max="12" width="11.42578125" style="2" customWidth="1"/>
    <col min="13" max="13" width="12" style="2" customWidth="1"/>
    <col min="14" max="14" width="11.7109375" style="2" customWidth="1"/>
    <col min="15" max="15" width="11.140625" style="2" customWidth="1"/>
    <col min="16" max="16" width="12.5703125" style="2" customWidth="1"/>
    <col min="17" max="16384" width="9.140625" style="2"/>
  </cols>
  <sheetData>
    <row r="1" spans="1:17" ht="75" customHeight="1" x14ac:dyDescent="0.2">
      <c r="A1" s="36" t="str">
        <f>CONCATENATE("Informacja z wykonania budżetów miast na prawach powiatu za  ",$C$93," ",$B$94," roku     ",$B$96,"")</f>
        <v xml:space="preserve">Informacja z wykonania budżetów miast na prawach powiatu za  III Kwartały 2023 roku     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7" t="s">
        <v>64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7" ht="13.5" customHeight="1" x14ac:dyDescent="0.2">
      <c r="B5" s="12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11"/>
      <c r="O5" s="11"/>
      <c r="P5" s="11"/>
      <c r="Q5" s="11"/>
    </row>
    <row r="6" spans="1:17" ht="13.5" customHeight="1" x14ac:dyDescent="0.2">
      <c r="A6" s="26" t="s">
        <v>0</v>
      </c>
      <c r="B6" s="38" t="s">
        <v>65</v>
      </c>
      <c r="C6" s="50" t="s">
        <v>69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2"/>
      <c r="O6" s="50" t="s">
        <v>68</v>
      </c>
      <c r="P6" s="51"/>
      <c r="Q6" s="52"/>
    </row>
    <row r="7" spans="1:17" ht="13.5" customHeight="1" x14ac:dyDescent="0.2">
      <c r="A7" s="27"/>
      <c r="B7" s="29"/>
      <c r="C7" s="30" t="s">
        <v>66</v>
      </c>
      <c r="D7" s="30" t="s">
        <v>1</v>
      </c>
      <c r="E7" s="30" t="s">
        <v>70</v>
      </c>
      <c r="F7" s="30" t="s">
        <v>71</v>
      </c>
      <c r="G7" s="30" t="s">
        <v>28</v>
      </c>
      <c r="H7" s="30" t="s">
        <v>29</v>
      </c>
      <c r="I7" s="44" t="s">
        <v>67</v>
      </c>
      <c r="J7" s="30" t="s">
        <v>17</v>
      </c>
      <c r="K7" s="30" t="s">
        <v>18</v>
      </c>
      <c r="L7" s="30" t="s">
        <v>19</v>
      </c>
      <c r="M7" s="30" t="s">
        <v>20</v>
      </c>
      <c r="N7" s="29" t="s">
        <v>21</v>
      </c>
      <c r="O7" s="31" t="s">
        <v>22</v>
      </c>
      <c r="P7" s="31" t="s">
        <v>23</v>
      </c>
      <c r="Q7" s="31" t="s">
        <v>24</v>
      </c>
    </row>
    <row r="8" spans="1:17" ht="13.5" customHeight="1" x14ac:dyDescent="0.2">
      <c r="A8" s="27"/>
      <c r="B8" s="29"/>
      <c r="C8" s="31"/>
      <c r="D8" s="31"/>
      <c r="E8" s="31"/>
      <c r="F8" s="31"/>
      <c r="G8" s="31"/>
      <c r="H8" s="31"/>
      <c r="I8" s="44"/>
      <c r="J8" s="31"/>
      <c r="K8" s="31"/>
      <c r="L8" s="31"/>
      <c r="M8" s="31"/>
      <c r="N8" s="29"/>
      <c r="O8" s="31"/>
      <c r="P8" s="31"/>
      <c r="Q8" s="31"/>
    </row>
    <row r="9" spans="1:17" ht="11.25" customHeight="1" x14ac:dyDescent="0.2">
      <c r="A9" s="27"/>
      <c r="B9" s="29"/>
      <c r="C9" s="31"/>
      <c r="D9" s="31"/>
      <c r="E9" s="31"/>
      <c r="F9" s="31"/>
      <c r="G9" s="31"/>
      <c r="H9" s="31"/>
      <c r="I9" s="44"/>
      <c r="J9" s="31"/>
      <c r="K9" s="31"/>
      <c r="L9" s="31"/>
      <c r="M9" s="31"/>
      <c r="N9" s="29"/>
      <c r="O9" s="31"/>
      <c r="P9" s="31"/>
      <c r="Q9" s="31"/>
    </row>
    <row r="10" spans="1:17" ht="11.25" customHeight="1" x14ac:dyDescent="0.2">
      <c r="A10" s="28"/>
      <c r="B10" s="30"/>
      <c r="C10" s="31"/>
      <c r="D10" s="31"/>
      <c r="E10" s="31"/>
      <c r="F10" s="31"/>
      <c r="G10" s="31"/>
      <c r="H10" s="31"/>
      <c r="I10" s="45"/>
      <c r="J10" s="31"/>
      <c r="K10" s="31"/>
      <c r="L10" s="31"/>
      <c r="M10" s="31"/>
      <c r="N10" s="30"/>
      <c r="O10" s="31"/>
      <c r="P10" s="31"/>
      <c r="Q10" s="31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77" t="s">
        <v>79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</row>
    <row r="13" spans="1:17" ht="38.25" customHeight="1" x14ac:dyDescent="0.2">
      <c r="A13" s="20" t="s">
        <v>47</v>
      </c>
      <c r="B13" s="21">
        <f>46538309232.71</f>
        <v>46538309232.709999</v>
      </c>
      <c r="C13" s="21">
        <f>24927073090.15</f>
        <v>24927073090.150002</v>
      </c>
      <c r="D13" s="21">
        <f>387958992.21</f>
        <v>387958992.20999998</v>
      </c>
      <c r="E13" s="21">
        <f>1625.28</f>
        <v>1625.28</v>
      </c>
      <c r="F13" s="21">
        <f>214701650.67</f>
        <v>214701650.66999999</v>
      </c>
      <c r="G13" s="21">
        <f>173191864.33</f>
        <v>173191864.33000001</v>
      </c>
      <c r="H13" s="21">
        <f>63851.93</f>
        <v>63851.93</v>
      </c>
      <c r="I13" s="21">
        <f>0</f>
        <v>0</v>
      </c>
      <c r="J13" s="21">
        <f>22145677487.35</f>
        <v>22145677487.349998</v>
      </c>
      <c r="K13" s="21">
        <f>970654946.1</f>
        <v>970654946.10000002</v>
      </c>
      <c r="L13" s="21">
        <f>1409039890.71</f>
        <v>1409039890.71</v>
      </c>
      <c r="M13" s="21">
        <f>12466978.03</f>
        <v>12466978.029999999</v>
      </c>
      <c r="N13" s="21">
        <f>1274795.75</f>
        <v>1274795.75</v>
      </c>
      <c r="O13" s="21">
        <f>21611236142.56</f>
        <v>21611236142.560001</v>
      </c>
      <c r="P13" s="21">
        <f>21357491811.63</f>
        <v>21357491811.630001</v>
      </c>
      <c r="Q13" s="21">
        <f>253744330.93</f>
        <v>253744330.93000001</v>
      </c>
    </row>
    <row r="14" spans="1:17" ht="38.25" customHeight="1" x14ac:dyDescent="0.2">
      <c r="A14" s="20" t="s">
        <v>48</v>
      </c>
      <c r="B14" s="21">
        <f>4781941000</f>
        <v>4781941000</v>
      </c>
      <c r="C14" s="21">
        <f>4781941000</f>
        <v>4781941000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4615441000</f>
        <v>4615441000</v>
      </c>
      <c r="K14" s="21">
        <f>166500000</f>
        <v>166500000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38.25" customHeight="1" x14ac:dyDescent="0.2">
      <c r="A15" s="18" t="s">
        <v>49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38.25" customHeight="1" x14ac:dyDescent="0.2">
      <c r="A16" s="18" t="s">
        <v>50</v>
      </c>
      <c r="B16" s="22">
        <f>4781941000</f>
        <v>4781941000</v>
      </c>
      <c r="C16" s="22">
        <f>4781941000</f>
        <v>4781941000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4615441000</f>
        <v>4615441000</v>
      </c>
      <c r="K16" s="22">
        <f>166500000</f>
        <v>166500000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8.25" customHeight="1" x14ac:dyDescent="0.2">
      <c r="A17" s="20" t="s">
        <v>51</v>
      </c>
      <c r="B17" s="21">
        <f>41734736731.6</f>
        <v>41734736731.599998</v>
      </c>
      <c r="C17" s="21">
        <f>20123503217.88</f>
        <v>20123503217.880001</v>
      </c>
      <c r="D17" s="21">
        <f>383633308.7</f>
        <v>383633308.69999999</v>
      </c>
      <c r="E17" s="21">
        <f>0</f>
        <v>0</v>
      </c>
      <c r="F17" s="21">
        <f>213483527.19</f>
        <v>213483527.19</v>
      </c>
      <c r="G17" s="21">
        <f>170149781.51</f>
        <v>170149781.50999999</v>
      </c>
      <c r="H17" s="21">
        <f>0</f>
        <v>0</v>
      </c>
      <c r="I17" s="21">
        <f>0</f>
        <v>0</v>
      </c>
      <c r="J17" s="21">
        <f>17530236487.35</f>
        <v>17530236487.349998</v>
      </c>
      <c r="K17" s="21">
        <f>804154946.1</f>
        <v>804154946.10000002</v>
      </c>
      <c r="L17" s="21">
        <f>1405428475.73</f>
        <v>1405428475.73</v>
      </c>
      <c r="M17" s="21">
        <f>50000</f>
        <v>50000</v>
      </c>
      <c r="N17" s="21">
        <f>0</f>
        <v>0</v>
      </c>
      <c r="O17" s="21">
        <f>21611233513.72</f>
        <v>21611233513.720001</v>
      </c>
      <c r="P17" s="21">
        <f>21357491811.63</f>
        <v>21357491811.630001</v>
      </c>
      <c r="Q17" s="21">
        <f>253741702.09</f>
        <v>253741702.09</v>
      </c>
    </row>
    <row r="18" spans="1:17" ht="38.25" customHeight="1" x14ac:dyDescent="0.2">
      <c r="A18" s="18" t="s">
        <v>52</v>
      </c>
      <c r="B18" s="22">
        <f>128129688.06</f>
        <v>128129688.06</v>
      </c>
      <c r="C18" s="22">
        <f>128129688.06</f>
        <v>128129688.06</v>
      </c>
      <c r="D18" s="22">
        <f>0</f>
        <v>0</v>
      </c>
      <c r="E18" s="22">
        <f>0</f>
        <v>0</v>
      </c>
      <c r="F18" s="22">
        <f>0</f>
        <v>0</v>
      </c>
      <c r="G18" s="22">
        <f>0</f>
        <v>0</v>
      </c>
      <c r="H18" s="22">
        <f>0</f>
        <v>0</v>
      </c>
      <c r="I18" s="22">
        <f>0</f>
        <v>0</v>
      </c>
      <c r="J18" s="22">
        <f>127268589.66</f>
        <v>127268589.66</v>
      </c>
      <c r="K18" s="22">
        <f>0</f>
        <v>0</v>
      </c>
      <c r="L18" s="22">
        <f>861098.4</f>
        <v>861098.4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38.25" customHeight="1" x14ac:dyDescent="0.2">
      <c r="A19" s="18" t="s">
        <v>53</v>
      </c>
      <c r="B19" s="22">
        <f>41606607043.54</f>
        <v>41606607043.540001</v>
      </c>
      <c r="C19" s="22">
        <f>19995373529.82</f>
        <v>19995373529.82</v>
      </c>
      <c r="D19" s="22">
        <f>383633308.7</f>
        <v>383633308.69999999</v>
      </c>
      <c r="E19" s="22">
        <f>0</f>
        <v>0</v>
      </c>
      <c r="F19" s="22">
        <f>213483527.19</f>
        <v>213483527.19</v>
      </c>
      <c r="G19" s="22">
        <f>170149781.51</f>
        <v>170149781.50999999</v>
      </c>
      <c r="H19" s="22">
        <f>0</f>
        <v>0</v>
      </c>
      <c r="I19" s="22">
        <f>0</f>
        <v>0</v>
      </c>
      <c r="J19" s="22">
        <f>17402967897.69</f>
        <v>17402967897.689999</v>
      </c>
      <c r="K19" s="22">
        <f>804154946.1</f>
        <v>804154946.10000002</v>
      </c>
      <c r="L19" s="22">
        <f>1404567377.33</f>
        <v>1404567377.3299999</v>
      </c>
      <c r="M19" s="22">
        <f>50000</f>
        <v>50000</v>
      </c>
      <c r="N19" s="22">
        <f>0</f>
        <v>0</v>
      </c>
      <c r="O19" s="22">
        <f>21611233513.72</f>
        <v>21611233513.720001</v>
      </c>
      <c r="P19" s="22">
        <f>21357491811.63</f>
        <v>21357491811.630001</v>
      </c>
      <c r="Q19" s="22">
        <f>253741702.09</f>
        <v>253741702.09</v>
      </c>
    </row>
    <row r="20" spans="1:17" ht="38.25" customHeight="1" x14ac:dyDescent="0.2">
      <c r="A20" s="20" t="s">
        <v>54</v>
      </c>
      <c r="B20" s="21">
        <f>0</f>
        <v>0</v>
      </c>
      <c r="C20" s="21">
        <f>0</f>
        <v>0</v>
      </c>
      <c r="D20" s="21">
        <f>0</f>
        <v>0</v>
      </c>
      <c r="E20" s="21">
        <f>0</f>
        <v>0</v>
      </c>
      <c r="F20" s="21">
        <f>0</f>
        <v>0</v>
      </c>
      <c r="G20" s="21">
        <f>0</f>
        <v>0</v>
      </c>
      <c r="H20" s="21">
        <f>0</f>
        <v>0</v>
      </c>
      <c r="I20" s="21">
        <f>0</f>
        <v>0</v>
      </c>
      <c r="J20" s="21">
        <f>0</f>
        <v>0</v>
      </c>
      <c r="K20" s="21">
        <f>0</f>
        <v>0</v>
      </c>
      <c r="L20" s="21">
        <f>0</f>
        <v>0</v>
      </c>
      <c r="M20" s="21">
        <f>0</f>
        <v>0</v>
      </c>
      <c r="N20" s="21">
        <f>0</f>
        <v>0</v>
      </c>
      <c r="O20" s="21">
        <f>0</f>
        <v>0</v>
      </c>
      <c r="P20" s="21">
        <f>0</f>
        <v>0</v>
      </c>
      <c r="Q20" s="21">
        <f>0</f>
        <v>0</v>
      </c>
    </row>
    <row r="21" spans="1:17" ht="38.25" customHeight="1" x14ac:dyDescent="0.2">
      <c r="A21" s="20" t="s">
        <v>80</v>
      </c>
      <c r="B21" s="21">
        <f>21631501.11</f>
        <v>21631501.109999999</v>
      </c>
      <c r="C21" s="21">
        <f>21628872.27</f>
        <v>21628872.27</v>
      </c>
      <c r="D21" s="21">
        <f>4325683.51</f>
        <v>4325683.51</v>
      </c>
      <c r="E21" s="21">
        <f>1625.28</f>
        <v>1625.28</v>
      </c>
      <c r="F21" s="21">
        <f>1218123.48</f>
        <v>1218123.48</v>
      </c>
      <c r="G21" s="21">
        <f>3042082.82</f>
        <v>3042082.82</v>
      </c>
      <c r="H21" s="21">
        <f>63851.93</f>
        <v>63851.93</v>
      </c>
      <c r="I21" s="21">
        <f>0</f>
        <v>0</v>
      </c>
      <c r="J21" s="21">
        <f>0</f>
        <v>0</v>
      </c>
      <c r="K21" s="21">
        <f>0</f>
        <v>0</v>
      </c>
      <c r="L21" s="21">
        <f>3611414.98</f>
        <v>3611414.98</v>
      </c>
      <c r="M21" s="21">
        <f>12416978.03</f>
        <v>12416978.029999999</v>
      </c>
      <c r="N21" s="21">
        <f>1274795.75</f>
        <v>1274795.75</v>
      </c>
      <c r="O21" s="21">
        <f>2628.84</f>
        <v>2628.84</v>
      </c>
      <c r="P21" s="21">
        <f>0</f>
        <v>0</v>
      </c>
      <c r="Q21" s="21">
        <f>2628.84</f>
        <v>2628.84</v>
      </c>
    </row>
    <row r="22" spans="1:17" ht="38.25" customHeight="1" x14ac:dyDescent="0.2">
      <c r="A22" s="18" t="s">
        <v>55</v>
      </c>
      <c r="B22" s="22">
        <f>16158377.8</f>
        <v>16158377.800000001</v>
      </c>
      <c r="C22" s="22">
        <f>16158377.8</f>
        <v>16158377.800000001</v>
      </c>
      <c r="D22" s="22">
        <f>1218068.37</f>
        <v>1218068.3700000001</v>
      </c>
      <c r="E22" s="22">
        <f>155.48</f>
        <v>155.47999999999999</v>
      </c>
      <c r="F22" s="22">
        <f>1217912.89</f>
        <v>1217912.8899999999</v>
      </c>
      <c r="G22" s="22">
        <f>0</f>
        <v>0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1820614.46</f>
        <v>1820614.46</v>
      </c>
      <c r="M22" s="22">
        <f>11845282.26</f>
        <v>11845282.26</v>
      </c>
      <c r="N22" s="22">
        <f>1274412.71</f>
        <v>1274412.71</v>
      </c>
      <c r="O22" s="22">
        <f>0</f>
        <v>0</v>
      </c>
      <c r="P22" s="22">
        <f>0</f>
        <v>0</v>
      </c>
      <c r="Q22" s="22">
        <f>0</f>
        <v>0</v>
      </c>
    </row>
    <row r="23" spans="1:17" ht="38.25" customHeight="1" x14ac:dyDescent="0.2">
      <c r="A23" s="18" t="s">
        <v>56</v>
      </c>
      <c r="B23" s="22">
        <f>5473123.31</f>
        <v>5473123.3099999996</v>
      </c>
      <c r="C23" s="22">
        <f>5470494.47</f>
        <v>5470494.4699999997</v>
      </c>
      <c r="D23" s="22">
        <f>3107615.14</f>
        <v>3107615.14</v>
      </c>
      <c r="E23" s="22">
        <f>1469.8</f>
        <v>1469.8</v>
      </c>
      <c r="F23" s="22">
        <f>210.59</f>
        <v>210.59</v>
      </c>
      <c r="G23" s="22">
        <f>3042082.82</f>
        <v>3042082.82</v>
      </c>
      <c r="H23" s="22">
        <f>63851.93</f>
        <v>63851.93</v>
      </c>
      <c r="I23" s="22">
        <f>0</f>
        <v>0</v>
      </c>
      <c r="J23" s="22">
        <f>0</f>
        <v>0</v>
      </c>
      <c r="K23" s="22">
        <f>0</f>
        <v>0</v>
      </c>
      <c r="L23" s="22">
        <f>1790800.52</f>
        <v>1790800.52</v>
      </c>
      <c r="M23" s="22">
        <f>571695.77</f>
        <v>571695.77</v>
      </c>
      <c r="N23" s="22">
        <f>383.04</f>
        <v>383.04</v>
      </c>
      <c r="O23" s="22">
        <f>2628.84</f>
        <v>2628.84</v>
      </c>
      <c r="P23" s="22">
        <f>0</f>
        <v>0</v>
      </c>
      <c r="Q23" s="22">
        <f>2628.84</f>
        <v>2628.84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9.5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ht="45.75" customHeight="1" x14ac:dyDescent="0.2">
      <c r="A30" s="36" t="str">
        <f>CONCATENATE("Informacja z wykonania budżetów miast na prawach powiatu za  ",$C$93," ",$B$94," roku     ",$B$96,"")</f>
        <v xml:space="preserve">Informacja z wykonania budżetów miast na prawach powiatu za  III Kwartały 2023 roku     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2" spans="1:17" ht="13.5" customHeight="1" x14ac:dyDescent="0.2">
      <c r="A32" s="37" t="s">
        <v>12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4" spans="1:17" ht="13.5" customHeight="1" x14ac:dyDescent="0.2">
      <c r="A34" s="26" t="s">
        <v>0</v>
      </c>
      <c r="B34" s="38" t="s">
        <v>13</v>
      </c>
      <c r="C34" s="33" t="s">
        <v>15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5"/>
      <c r="O34" s="33" t="s">
        <v>25</v>
      </c>
      <c r="P34" s="34"/>
      <c r="Q34" s="35"/>
    </row>
    <row r="35" spans="1:17" ht="13.5" customHeight="1" x14ac:dyDescent="0.2">
      <c r="A35" s="27"/>
      <c r="B35" s="29"/>
      <c r="C35" s="29" t="s">
        <v>14</v>
      </c>
      <c r="D35" s="31" t="s">
        <v>16</v>
      </c>
      <c r="E35" s="31" t="s">
        <v>26</v>
      </c>
      <c r="F35" s="31" t="s">
        <v>27</v>
      </c>
      <c r="G35" s="31" t="s">
        <v>75</v>
      </c>
      <c r="H35" s="31" t="s">
        <v>29</v>
      </c>
      <c r="I35" s="31" t="s">
        <v>2</v>
      </c>
      <c r="J35" s="31" t="s">
        <v>17</v>
      </c>
      <c r="K35" s="31" t="s">
        <v>18</v>
      </c>
      <c r="L35" s="31" t="s">
        <v>19</v>
      </c>
      <c r="M35" s="31" t="s">
        <v>20</v>
      </c>
      <c r="N35" s="75" t="s">
        <v>21</v>
      </c>
      <c r="O35" s="31" t="s">
        <v>22</v>
      </c>
      <c r="P35" s="31" t="s">
        <v>23</v>
      </c>
      <c r="Q35" s="38" t="s">
        <v>24</v>
      </c>
    </row>
    <row r="36" spans="1:17" ht="11.25" customHeight="1" x14ac:dyDescent="0.2">
      <c r="A36" s="27"/>
      <c r="B36" s="29"/>
      <c r="C36" s="29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5"/>
      <c r="O36" s="31"/>
      <c r="P36" s="31"/>
      <c r="Q36" s="29"/>
    </row>
    <row r="37" spans="1:17" ht="24.75" customHeight="1" x14ac:dyDescent="0.2">
      <c r="A37" s="28"/>
      <c r="B37" s="30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5"/>
      <c r="O37" s="31"/>
      <c r="P37" s="31"/>
      <c r="Q37" s="30"/>
    </row>
    <row r="38" spans="1:17" ht="13.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2.75" customHeight="1" x14ac:dyDescent="0.2">
      <c r="A39" s="13"/>
      <c r="B39" s="61" t="s">
        <v>79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62"/>
    </row>
    <row r="40" spans="1:17" ht="26.25" customHeight="1" x14ac:dyDescent="0.2">
      <c r="A40" s="25" t="s">
        <v>42</v>
      </c>
      <c r="B40" s="23">
        <f>100453.82</f>
        <v>100453.82</v>
      </c>
      <c r="C40" s="23">
        <f>100453.82</f>
        <v>100453.82</v>
      </c>
      <c r="D40" s="23">
        <f>0</f>
        <v>0</v>
      </c>
      <c r="E40" s="23">
        <f>0</f>
        <v>0</v>
      </c>
      <c r="F40" s="23">
        <f>0</f>
        <v>0</v>
      </c>
      <c r="G40" s="23">
        <f>0</f>
        <v>0</v>
      </c>
      <c r="H40" s="23">
        <f>0</f>
        <v>0</v>
      </c>
      <c r="I40" s="23">
        <f>0</f>
        <v>0</v>
      </c>
      <c r="J40" s="23">
        <f>0</f>
        <v>0</v>
      </c>
      <c r="K40" s="23">
        <f>0</f>
        <v>0</v>
      </c>
      <c r="L40" s="23">
        <f>100453.82</f>
        <v>100453.82</v>
      </c>
      <c r="M40" s="23">
        <f>0</f>
        <v>0</v>
      </c>
      <c r="N40" s="23">
        <f>0</f>
        <v>0</v>
      </c>
      <c r="O40" s="23">
        <f>0</f>
        <v>0</v>
      </c>
      <c r="P40" s="23">
        <f>0</f>
        <v>0</v>
      </c>
      <c r="Q40" s="23">
        <f>0</f>
        <v>0</v>
      </c>
    </row>
    <row r="41" spans="1:17" ht="26.25" customHeight="1" x14ac:dyDescent="0.2">
      <c r="A41" s="19" t="s">
        <v>30</v>
      </c>
      <c r="B41" s="24">
        <f>0</f>
        <v>0</v>
      </c>
      <c r="C41" s="24">
        <f>0</f>
        <v>0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0</f>
        <v>0</v>
      </c>
      <c r="K41" s="24">
        <f>0</f>
        <v>0</v>
      </c>
      <c r="L41" s="24">
        <f>0</f>
        <v>0</v>
      </c>
      <c r="M41" s="24">
        <f>0</f>
        <v>0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6.25" customHeight="1" x14ac:dyDescent="0.2">
      <c r="A42" s="19" t="s">
        <v>31</v>
      </c>
      <c r="B42" s="24">
        <f>100453.82</f>
        <v>100453.82</v>
      </c>
      <c r="C42" s="24">
        <f>100453.82</f>
        <v>100453.82</v>
      </c>
      <c r="D42" s="24">
        <f>0</f>
        <v>0</v>
      </c>
      <c r="E42" s="24">
        <f>0</f>
        <v>0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100453.82</f>
        <v>100453.82</v>
      </c>
      <c r="M42" s="24">
        <f>0</f>
        <v>0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6.25" customHeight="1" x14ac:dyDescent="0.2">
      <c r="A43" s="25" t="s">
        <v>43</v>
      </c>
      <c r="B43" s="23">
        <f>370834235.89</f>
        <v>370834235.88999999</v>
      </c>
      <c r="C43" s="23">
        <f>370834235.89</f>
        <v>370834235.88999999</v>
      </c>
      <c r="D43" s="23">
        <f>144166474.76</f>
        <v>144166474.75999999</v>
      </c>
      <c r="E43" s="23">
        <f>2125</f>
        <v>2125</v>
      </c>
      <c r="F43" s="23">
        <f>0</f>
        <v>0</v>
      </c>
      <c r="G43" s="23">
        <f>144164349.76</f>
        <v>144164349.75999999</v>
      </c>
      <c r="H43" s="23">
        <f>0</f>
        <v>0</v>
      </c>
      <c r="I43" s="23">
        <f>0</f>
        <v>0</v>
      </c>
      <c r="J43" s="23">
        <f>0</f>
        <v>0</v>
      </c>
      <c r="K43" s="23">
        <f>4560</f>
        <v>4560</v>
      </c>
      <c r="L43" s="23">
        <f>136293164.59</f>
        <v>136293164.59</v>
      </c>
      <c r="M43" s="23">
        <f>80733277.29</f>
        <v>80733277.290000007</v>
      </c>
      <c r="N43" s="23">
        <f>9636759.25</f>
        <v>9636759.25</v>
      </c>
      <c r="O43" s="23">
        <f>0</f>
        <v>0</v>
      </c>
      <c r="P43" s="23">
        <f>0</f>
        <v>0</v>
      </c>
      <c r="Q43" s="23">
        <f>0</f>
        <v>0</v>
      </c>
    </row>
    <row r="44" spans="1:17" ht="26.25" customHeight="1" x14ac:dyDescent="0.2">
      <c r="A44" s="19" t="s">
        <v>32</v>
      </c>
      <c r="B44" s="24">
        <f>45648489.47</f>
        <v>45648489.469999999</v>
      </c>
      <c r="C44" s="24">
        <f>45648489.47</f>
        <v>45648489.469999999</v>
      </c>
      <c r="D44" s="24">
        <f>15302035.33</f>
        <v>15302035.33</v>
      </c>
      <c r="E44" s="24">
        <f>2125</f>
        <v>2125</v>
      </c>
      <c r="F44" s="24">
        <f>0</f>
        <v>0</v>
      </c>
      <c r="G44" s="24">
        <f>15299910.33</f>
        <v>15299910.33</v>
      </c>
      <c r="H44" s="24">
        <f>0</f>
        <v>0</v>
      </c>
      <c r="I44" s="24">
        <f>0</f>
        <v>0</v>
      </c>
      <c r="J44" s="24">
        <f>0</f>
        <v>0</v>
      </c>
      <c r="K44" s="24">
        <f>4560</f>
        <v>4560</v>
      </c>
      <c r="L44" s="24">
        <f>12536594.11</f>
        <v>12536594.109999999</v>
      </c>
      <c r="M44" s="24">
        <f>17405300.03</f>
        <v>17405300.030000001</v>
      </c>
      <c r="N44" s="24">
        <f>400000</f>
        <v>400000</v>
      </c>
      <c r="O44" s="24">
        <f>0</f>
        <v>0</v>
      </c>
      <c r="P44" s="24">
        <f>0</f>
        <v>0</v>
      </c>
      <c r="Q44" s="24">
        <f>0</f>
        <v>0</v>
      </c>
    </row>
    <row r="45" spans="1:17" ht="26.25" customHeight="1" x14ac:dyDescent="0.2">
      <c r="A45" s="19" t="s">
        <v>33</v>
      </c>
      <c r="B45" s="24">
        <f>325185746.42</f>
        <v>325185746.42000002</v>
      </c>
      <c r="C45" s="24">
        <f>325185746.42</f>
        <v>325185746.42000002</v>
      </c>
      <c r="D45" s="24">
        <f>128864439.43</f>
        <v>128864439.43000001</v>
      </c>
      <c r="E45" s="24">
        <f>0</f>
        <v>0</v>
      </c>
      <c r="F45" s="24">
        <f>0</f>
        <v>0</v>
      </c>
      <c r="G45" s="24">
        <f>128864439.43</f>
        <v>128864439.43000001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123756570.48</f>
        <v>123756570.48</v>
      </c>
      <c r="M45" s="24">
        <f>63327977.26</f>
        <v>63327977.259999998</v>
      </c>
      <c r="N45" s="24">
        <f>9236759.25</f>
        <v>9236759.25</v>
      </c>
      <c r="O45" s="24">
        <f>0</f>
        <v>0</v>
      </c>
      <c r="P45" s="24">
        <f>0</f>
        <v>0</v>
      </c>
      <c r="Q45" s="24">
        <f>0</f>
        <v>0</v>
      </c>
    </row>
    <row r="46" spans="1:17" ht="26.25" customHeight="1" x14ac:dyDescent="0.2">
      <c r="A46" s="25" t="s">
        <v>44</v>
      </c>
      <c r="B46" s="23">
        <f>11548497077.32</f>
        <v>11548497077.32</v>
      </c>
      <c r="C46" s="23">
        <f>11548497077.32</f>
        <v>11548497077.32</v>
      </c>
      <c r="D46" s="23">
        <f>15618784</f>
        <v>15618784</v>
      </c>
      <c r="E46" s="23">
        <f>88598.34</f>
        <v>88598.34</v>
      </c>
      <c r="F46" s="23">
        <f>28291</f>
        <v>28291</v>
      </c>
      <c r="G46" s="23">
        <f>15501894.66</f>
        <v>15501894.66</v>
      </c>
      <c r="H46" s="23">
        <f>0</f>
        <v>0</v>
      </c>
      <c r="I46" s="23">
        <f>7996550.36</f>
        <v>7996550.3600000003</v>
      </c>
      <c r="J46" s="23">
        <f>11522579635.71</f>
        <v>11522579635.709999</v>
      </c>
      <c r="K46" s="23">
        <f>115165.4</f>
        <v>115165.4</v>
      </c>
      <c r="L46" s="23">
        <f>2144262.28</f>
        <v>2144262.2799999998</v>
      </c>
      <c r="M46" s="23">
        <f>42030.66</f>
        <v>42030.66</v>
      </c>
      <c r="N46" s="23">
        <f>648.91</f>
        <v>648.91</v>
      </c>
      <c r="O46" s="23">
        <f>0</f>
        <v>0</v>
      </c>
      <c r="P46" s="23">
        <f>0</f>
        <v>0</v>
      </c>
      <c r="Q46" s="23">
        <f>0</f>
        <v>0</v>
      </c>
    </row>
    <row r="47" spans="1:17" ht="26.25" customHeight="1" x14ac:dyDescent="0.2">
      <c r="A47" s="19" t="s">
        <v>34</v>
      </c>
      <c r="B47" s="24">
        <f>8680505.94</f>
        <v>8680505.9399999995</v>
      </c>
      <c r="C47" s="24">
        <f>8680505.94</f>
        <v>8680505.9399999995</v>
      </c>
      <c r="D47" s="24">
        <f>8680505.94</f>
        <v>8680505.9399999995</v>
      </c>
      <c r="E47" s="24">
        <f>0</f>
        <v>0</v>
      </c>
      <c r="F47" s="24">
        <f>0</f>
        <v>0</v>
      </c>
      <c r="G47" s="24">
        <f>8680505.94</f>
        <v>8680505.9399999995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6.25" customHeight="1" x14ac:dyDescent="0.2">
      <c r="A48" s="19" t="s">
        <v>35</v>
      </c>
      <c r="B48" s="24">
        <f>5461796110.22</f>
        <v>5461796110.2200003</v>
      </c>
      <c r="C48" s="24">
        <f>5461796110.22</f>
        <v>5461796110.2200003</v>
      </c>
      <c r="D48" s="24">
        <f>6772435.67</f>
        <v>6772435.6699999999</v>
      </c>
      <c r="E48" s="24">
        <f>14000</f>
        <v>14000</v>
      </c>
      <c r="F48" s="24">
        <f>0</f>
        <v>0</v>
      </c>
      <c r="G48" s="24">
        <f>6758435.67</f>
        <v>6758435.6699999999</v>
      </c>
      <c r="H48" s="24">
        <f>0</f>
        <v>0</v>
      </c>
      <c r="I48" s="24">
        <f>7912765.83</f>
        <v>7912765.8300000001</v>
      </c>
      <c r="J48" s="24">
        <f>5446049819.43</f>
        <v>5446049819.4300003</v>
      </c>
      <c r="K48" s="24">
        <f>115165.4</f>
        <v>115165.4</v>
      </c>
      <c r="L48" s="24">
        <f>945923.89</f>
        <v>945923.89</v>
      </c>
      <c r="M48" s="24">
        <f>0</f>
        <v>0</v>
      </c>
      <c r="N48" s="24">
        <f>0</f>
        <v>0</v>
      </c>
      <c r="O48" s="24">
        <f>0</f>
        <v>0</v>
      </c>
      <c r="P48" s="24">
        <f>0</f>
        <v>0</v>
      </c>
      <c r="Q48" s="24">
        <f>0</f>
        <v>0</v>
      </c>
    </row>
    <row r="49" spans="1:17" ht="26.25" customHeight="1" x14ac:dyDescent="0.2">
      <c r="A49" s="19" t="s">
        <v>36</v>
      </c>
      <c r="B49" s="24">
        <f>6078020461.16</f>
        <v>6078020461.1599998</v>
      </c>
      <c r="C49" s="24">
        <f>6078020461.16</f>
        <v>6078020461.1599998</v>
      </c>
      <c r="D49" s="24">
        <f>165842.39</f>
        <v>165842.39000000001</v>
      </c>
      <c r="E49" s="24">
        <f>74598.34</f>
        <v>74598.34</v>
      </c>
      <c r="F49" s="24">
        <f>28291</f>
        <v>28291</v>
      </c>
      <c r="G49" s="24">
        <f>62953.05</f>
        <v>62953.05</v>
      </c>
      <c r="H49" s="24">
        <f>0</f>
        <v>0</v>
      </c>
      <c r="I49" s="24">
        <f>83784.53</f>
        <v>83784.53</v>
      </c>
      <c r="J49" s="24">
        <f>6076529816.28</f>
        <v>6076529816.2799997</v>
      </c>
      <c r="K49" s="24">
        <f>0</f>
        <v>0</v>
      </c>
      <c r="L49" s="24">
        <f>1198338.39</f>
        <v>1198338.3899999999</v>
      </c>
      <c r="M49" s="24">
        <f>42030.66</f>
        <v>42030.66</v>
      </c>
      <c r="N49" s="24">
        <f>648.91</f>
        <v>648.91</v>
      </c>
      <c r="O49" s="24">
        <f>0</f>
        <v>0</v>
      </c>
      <c r="P49" s="24">
        <f>0</f>
        <v>0</v>
      </c>
      <c r="Q49" s="24">
        <f>0</f>
        <v>0</v>
      </c>
    </row>
    <row r="50" spans="1:17" ht="26.25" customHeight="1" x14ac:dyDescent="0.2">
      <c r="A50" s="25" t="s">
        <v>45</v>
      </c>
      <c r="B50" s="23">
        <f>12540414150.16</f>
        <v>12540414150.16</v>
      </c>
      <c r="C50" s="23">
        <f>12514547355.09</f>
        <v>12514547355.09</v>
      </c>
      <c r="D50" s="23">
        <f>381511676.44</f>
        <v>381511676.44</v>
      </c>
      <c r="E50" s="23">
        <f>72607081.47</f>
        <v>72607081.469999999</v>
      </c>
      <c r="F50" s="23">
        <f>14082003.05</f>
        <v>14082003.050000001</v>
      </c>
      <c r="G50" s="23">
        <f>294559375.69</f>
        <v>294559375.69</v>
      </c>
      <c r="H50" s="23">
        <f>263216.23</f>
        <v>263216.23</v>
      </c>
      <c r="I50" s="23">
        <f>663.17</f>
        <v>663.17</v>
      </c>
      <c r="J50" s="23">
        <f>297988.35</f>
        <v>297988.34999999998</v>
      </c>
      <c r="K50" s="23">
        <f>4564261.19</f>
        <v>4564261.1900000004</v>
      </c>
      <c r="L50" s="23">
        <f>2704079582.5</f>
        <v>2704079582.5</v>
      </c>
      <c r="M50" s="23">
        <f>9341108493.12</f>
        <v>9341108493.1200008</v>
      </c>
      <c r="N50" s="23">
        <f>82984690.32</f>
        <v>82984690.319999993</v>
      </c>
      <c r="O50" s="23">
        <f>25866795.07</f>
        <v>25866795.07</v>
      </c>
      <c r="P50" s="23">
        <f>13639165.28</f>
        <v>13639165.279999999</v>
      </c>
      <c r="Q50" s="23">
        <f>12227629.79</f>
        <v>12227629.789999999</v>
      </c>
    </row>
    <row r="51" spans="1:17" ht="26.25" customHeight="1" x14ac:dyDescent="0.2">
      <c r="A51" s="19" t="s">
        <v>37</v>
      </c>
      <c r="B51" s="24">
        <f>5143423456.99</f>
        <v>5143423456.9899998</v>
      </c>
      <c r="C51" s="24">
        <f>5140687624.14</f>
        <v>5140687624.1400003</v>
      </c>
      <c r="D51" s="24">
        <f>70212118.04</f>
        <v>70212118.040000007</v>
      </c>
      <c r="E51" s="24">
        <f>1094397.27</f>
        <v>1094397.27</v>
      </c>
      <c r="F51" s="24">
        <f>2987519.03</f>
        <v>2987519.03</v>
      </c>
      <c r="G51" s="24">
        <f>66128562.35</f>
        <v>66128562.350000001</v>
      </c>
      <c r="H51" s="24">
        <f>1639.39</f>
        <v>1639.39</v>
      </c>
      <c r="I51" s="24">
        <f>0</f>
        <v>0</v>
      </c>
      <c r="J51" s="24">
        <f>39781.6</f>
        <v>39781.599999999999</v>
      </c>
      <c r="K51" s="24">
        <f>458543.41</f>
        <v>458543.41</v>
      </c>
      <c r="L51" s="24">
        <f>658943796.89</f>
        <v>658943796.88999999</v>
      </c>
      <c r="M51" s="24">
        <f>4370857620.66</f>
        <v>4370857620.6599998</v>
      </c>
      <c r="N51" s="24">
        <f>40175763.54</f>
        <v>40175763.539999999</v>
      </c>
      <c r="O51" s="24">
        <f>2735832.85</f>
        <v>2735832.85</v>
      </c>
      <c r="P51" s="24">
        <f>674309.15</f>
        <v>674309.15</v>
      </c>
      <c r="Q51" s="24">
        <f>2061523.7</f>
        <v>2061523.7</v>
      </c>
    </row>
    <row r="52" spans="1:17" ht="26.25" customHeight="1" x14ac:dyDescent="0.2">
      <c r="A52" s="19" t="s">
        <v>38</v>
      </c>
      <c r="B52" s="24">
        <f>7396990693.17</f>
        <v>7396990693.1700001</v>
      </c>
      <c r="C52" s="24">
        <f>7373859730.95</f>
        <v>7373859730.9499998</v>
      </c>
      <c r="D52" s="24">
        <f>311299558.4</f>
        <v>311299558.39999998</v>
      </c>
      <c r="E52" s="24">
        <f>71512684.2</f>
        <v>71512684.200000003</v>
      </c>
      <c r="F52" s="24">
        <f>11094484.02</f>
        <v>11094484.02</v>
      </c>
      <c r="G52" s="24">
        <f>228430813.34</f>
        <v>228430813.34</v>
      </c>
      <c r="H52" s="24">
        <f>261576.84</f>
        <v>261576.84</v>
      </c>
      <c r="I52" s="24">
        <f>663.17</f>
        <v>663.17</v>
      </c>
      <c r="J52" s="24">
        <f>258206.75</f>
        <v>258206.75</v>
      </c>
      <c r="K52" s="24">
        <f>4105717.78</f>
        <v>4105717.78</v>
      </c>
      <c r="L52" s="24">
        <f>2045135785.61</f>
        <v>2045135785.6099999</v>
      </c>
      <c r="M52" s="24">
        <f>4970250872.46</f>
        <v>4970250872.46</v>
      </c>
      <c r="N52" s="24">
        <f>42808926.78</f>
        <v>42808926.780000001</v>
      </c>
      <c r="O52" s="24">
        <f>23130962.22</f>
        <v>23130962.219999999</v>
      </c>
      <c r="P52" s="24">
        <f>12964856.13</f>
        <v>12964856.130000001</v>
      </c>
      <c r="Q52" s="24">
        <f>10166106.09</f>
        <v>10166106.09</v>
      </c>
    </row>
    <row r="53" spans="1:17" ht="26.25" customHeight="1" x14ac:dyDescent="0.2">
      <c r="A53" s="25" t="s">
        <v>46</v>
      </c>
      <c r="B53" s="23">
        <f>6844466904.92</f>
        <v>6844466904.9200001</v>
      </c>
      <c r="C53" s="23">
        <f>6823061839.35</f>
        <v>6823061839.3500004</v>
      </c>
      <c r="D53" s="23">
        <f>698705405.79</f>
        <v>698705405.78999996</v>
      </c>
      <c r="E53" s="23">
        <f>299345406.1</f>
        <v>299345406.10000002</v>
      </c>
      <c r="F53" s="23">
        <f>41115258.51</f>
        <v>41115258.509999998</v>
      </c>
      <c r="G53" s="23">
        <f>351480053.8</f>
        <v>351480053.80000001</v>
      </c>
      <c r="H53" s="23">
        <f>6764687.38</f>
        <v>6764687.3799999999</v>
      </c>
      <c r="I53" s="23">
        <f>1254581.7</f>
        <v>1254581.7</v>
      </c>
      <c r="J53" s="23">
        <f>6737747.81</f>
        <v>6737747.8099999996</v>
      </c>
      <c r="K53" s="23">
        <f>22894880.62</f>
        <v>22894880.620000001</v>
      </c>
      <c r="L53" s="23">
        <f>4097434852.99</f>
        <v>4097434852.9899998</v>
      </c>
      <c r="M53" s="23">
        <f>1847039593.96</f>
        <v>1847039593.96</v>
      </c>
      <c r="N53" s="23">
        <f>148994776.48</f>
        <v>148994776.47999999</v>
      </c>
      <c r="O53" s="23">
        <f>21405065.57</f>
        <v>21405065.57</v>
      </c>
      <c r="P53" s="23">
        <f>8572173.56</f>
        <v>8572173.5600000005</v>
      </c>
      <c r="Q53" s="23">
        <f>12832892.01</f>
        <v>12832892.01</v>
      </c>
    </row>
    <row r="54" spans="1:17" ht="26.25" customHeight="1" x14ac:dyDescent="0.2">
      <c r="A54" s="19" t="s">
        <v>39</v>
      </c>
      <c r="B54" s="24">
        <f>709469544.7</f>
        <v>709469544.70000005</v>
      </c>
      <c r="C54" s="24">
        <f>708806668.13</f>
        <v>708806668.13</v>
      </c>
      <c r="D54" s="24">
        <f>48307906.82</f>
        <v>48307906.82</v>
      </c>
      <c r="E54" s="24">
        <f>2577527.71</f>
        <v>2577527.71</v>
      </c>
      <c r="F54" s="24">
        <f>2578494.55</f>
        <v>2578494.5499999998</v>
      </c>
      <c r="G54" s="24">
        <f>41690052.63</f>
        <v>41690052.630000003</v>
      </c>
      <c r="H54" s="24">
        <f>1461831.93</f>
        <v>1461831.93</v>
      </c>
      <c r="I54" s="24">
        <f>0</f>
        <v>0</v>
      </c>
      <c r="J54" s="24">
        <f>122816.43</f>
        <v>122816.43</v>
      </c>
      <c r="K54" s="24">
        <f>406819.79</f>
        <v>406819.79</v>
      </c>
      <c r="L54" s="24">
        <f>272752379.23</f>
        <v>272752379.23000002</v>
      </c>
      <c r="M54" s="24">
        <f>377744047.3</f>
        <v>377744047.30000001</v>
      </c>
      <c r="N54" s="24">
        <f>9472698.56</f>
        <v>9472698.5600000005</v>
      </c>
      <c r="O54" s="24">
        <f>662876.57</f>
        <v>662876.56999999995</v>
      </c>
      <c r="P54" s="24">
        <f>122648.21</f>
        <v>122648.21</v>
      </c>
      <c r="Q54" s="24">
        <f>540228.36</f>
        <v>540228.36</v>
      </c>
    </row>
    <row r="55" spans="1:17" ht="36.75" customHeight="1" x14ac:dyDescent="0.2">
      <c r="A55" s="19" t="s">
        <v>40</v>
      </c>
      <c r="B55" s="24">
        <f>3059785262.99</f>
        <v>3059785262.9899998</v>
      </c>
      <c r="C55" s="24">
        <f>3051528657.25</f>
        <v>3051528657.25</v>
      </c>
      <c r="D55" s="24">
        <f>196813493.85</f>
        <v>196813493.84999999</v>
      </c>
      <c r="E55" s="24">
        <f>56422800.28</f>
        <v>56422800.280000001</v>
      </c>
      <c r="F55" s="24">
        <f>28221466.49</f>
        <v>28221466.489999998</v>
      </c>
      <c r="G55" s="24">
        <f>110148984.88</f>
        <v>110148984.88</v>
      </c>
      <c r="H55" s="24">
        <f>2020242.2</f>
        <v>2020242.2</v>
      </c>
      <c r="I55" s="24">
        <f>1223610.53</f>
        <v>1223610.53</v>
      </c>
      <c r="J55" s="24">
        <f>5606248.63</f>
        <v>5606248.6299999999</v>
      </c>
      <c r="K55" s="24">
        <f>4731702.72</f>
        <v>4731702.72</v>
      </c>
      <c r="L55" s="24">
        <f>2364844765.15</f>
        <v>2364844765.1500001</v>
      </c>
      <c r="M55" s="24">
        <f>457384650.87</f>
        <v>457384650.87</v>
      </c>
      <c r="N55" s="24">
        <f>20924185.5</f>
        <v>20924185.5</v>
      </c>
      <c r="O55" s="24">
        <f>8256605.74</f>
        <v>8256605.7400000002</v>
      </c>
      <c r="P55" s="24">
        <f>7317017.36</f>
        <v>7317017.3600000003</v>
      </c>
      <c r="Q55" s="24">
        <f>939588.38</f>
        <v>939588.38</v>
      </c>
    </row>
    <row r="56" spans="1:17" ht="26.25" customHeight="1" x14ac:dyDescent="0.2">
      <c r="A56" s="19" t="s">
        <v>41</v>
      </c>
      <c r="B56" s="24">
        <f>3075212097.23</f>
        <v>3075212097.23</v>
      </c>
      <c r="C56" s="24">
        <f>3062726513.97</f>
        <v>3062726513.9699998</v>
      </c>
      <c r="D56" s="24">
        <f>453584005.12</f>
        <v>453584005.12</v>
      </c>
      <c r="E56" s="24">
        <f>240345078.11</f>
        <v>240345078.11000001</v>
      </c>
      <c r="F56" s="24">
        <f>10315297.47</f>
        <v>10315297.470000001</v>
      </c>
      <c r="G56" s="24">
        <f>199641016.29</f>
        <v>199641016.28999999</v>
      </c>
      <c r="H56" s="24">
        <f>3282613.25</f>
        <v>3282613.25</v>
      </c>
      <c r="I56" s="24">
        <f>30971.17</f>
        <v>30971.17</v>
      </c>
      <c r="J56" s="24">
        <f>1008682.75</f>
        <v>1008682.75</v>
      </c>
      <c r="K56" s="24">
        <f>17756358.11</f>
        <v>17756358.109999999</v>
      </c>
      <c r="L56" s="24">
        <f>1459837708.61</f>
        <v>1459837708.6099999</v>
      </c>
      <c r="M56" s="24">
        <f>1011910895.79</f>
        <v>1011910895.79</v>
      </c>
      <c r="N56" s="24">
        <f>118597892.42</f>
        <v>118597892.42</v>
      </c>
      <c r="O56" s="24">
        <f>12485583.26</f>
        <v>12485583.26</v>
      </c>
      <c r="P56" s="24">
        <f>1132507.99</f>
        <v>1132507.99</v>
      </c>
      <c r="Q56" s="24">
        <f>11353075.27</f>
        <v>11353075.27</v>
      </c>
    </row>
    <row r="66" spans="1:13" ht="75" customHeight="1" x14ac:dyDescent="0.2">
      <c r="A66" s="36" t="str">
        <f>CONCATENATE("Informacja z wykonania budżetów miast na prawach powiatu za  ",$C$93," ",$B$94," roku     ",$B$96,"")</f>
        <v xml:space="preserve">Informacja z wykonania budżetów miast na prawach powiatu za  III Kwartały 2023 roku     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ht="13.5" customHeight="1" x14ac:dyDescent="0.2">
      <c r="B67" s="37" t="s">
        <v>3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</row>
    <row r="69" spans="1:13" ht="13.5" customHeight="1" x14ac:dyDescent="0.2">
      <c r="B69" s="65" t="s">
        <v>0</v>
      </c>
      <c r="C69" s="66"/>
      <c r="D69" s="66"/>
      <c r="E69" s="67"/>
      <c r="F69" s="40" t="s">
        <v>73</v>
      </c>
      <c r="G69" s="61" t="s">
        <v>72</v>
      </c>
      <c r="H69" s="74"/>
      <c r="I69" s="74"/>
      <c r="J69" s="74"/>
      <c r="K69" s="74"/>
      <c r="L69" s="62"/>
    </row>
    <row r="70" spans="1:13" ht="13.5" customHeight="1" x14ac:dyDescent="0.2">
      <c r="B70" s="68"/>
      <c r="C70" s="69"/>
      <c r="D70" s="69"/>
      <c r="E70" s="70"/>
      <c r="F70" s="41"/>
      <c r="G70" s="43" t="s">
        <v>74</v>
      </c>
      <c r="H70" s="32" t="s">
        <v>70</v>
      </c>
      <c r="I70" s="32" t="s">
        <v>71</v>
      </c>
      <c r="J70" s="32" t="s">
        <v>75</v>
      </c>
      <c r="K70" s="32" t="s">
        <v>76</v>
      </c>
      <c r="L70" s="80" t="s">
        <v>77</v>
      </c>
    </row>
    <row r="71" spans="1:13" ht="13.5" customHeight="1" x14ac:dyDescent="0.2">
      <c r="B71" s="68"/>
      <c r="C71" s="69"/>
      <c r="D71" s="69"/>
      <c r="E71" s="70"/>
      <c r="F71" s="41"/>
      <c r="G71" s="43"/>
      <c r="H71" s="32"/>
      <c r="I71" s="32"/>
      <c r="J71" s="32"/>
      <c r="K71" s="32"/>
      <c r="L71" s="80"/>
    </row>
    <row r="72" spans="1:13" ht="11.25" customHeight="1" x14ac:dyDescent="0.2">
      <c r="B72" s="68"/>
      <c r="C72" s="69"/>
      <c r="D72" s="69"/>
      <c r="E72" s="70"/>
      <c r="F72" s="41"/>
      <c r="G72" s="43"/>
      <c r="H72" s="32"/>
      <c r="I72" s="32"/>
      <c r="J72" s="32"/>
      <c r="K72" s="32"/>
      <c r="L72" s="80"/>
    </row>
    <row r="73" spans="1:13" ht="11.25" customHeight="1" x14ac:dyDescent="0.2">
      <c r="B73" s="71"/>
      <c r="C73" s="72"/>
      <c r="D73" s="72"/>
      <c r="E73" s="73"/>
      <c r="F73" s="42"/>
      <c r="G73" s="43"/>
      <c r="H73" s="32"/>
      <c r="I73" s="32"/>
      <c r="J73" s="32"/>
      <c r="K73" s="32"/>
      <c r="L73" s="80"/>
    </row>
    <row r="74" spans="1:13" ht="11.25" customHeight="1" x14ac:dyDescent="0.2">
      <c r="B74" s="32">
        <v>1</v>
      </c>
      <c r="C74" s="32"/>
      <c r="D74" s="32"/>
      <c r="E74" s="32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13">
        <v>8</v>
      </c>
    </row>
    <row r="75" spans="1:13" ht="11.25" customHeight="1" x14ac:dyDescent="0.2">
      <c r="B75" s="76"/>
      <c r="C75" s="76"/>
      <c r="D75" s="76"/>
      <c r="E75" s="76"/>
      <c r="F75" s="32" t="s">
        <v>79</v>
      </c>
      <c r="G75" s="32"/>
      <c r="H75" s="32"/>
      <c r="I75" s="32"/>
      <c r="J75" s="32"/>
      <c r="K75" s="32"/>
      <c r="L75" s="32"/>
    </row>
    <row r="76" spans="1:13" ht="47.25" customHeight="1" x14ac:dyDescent="0.2">
      <c r="B76" s="53" t="s">
        <v>57</v>
      </c>
      <c r="C76" s="54"/>
      <c r="D76" s="54"/>
      <c r="E76" s="55"/>
      <c r="F76" s="22">
        <f>1678964610.85</f>
        <v>1678964610.8499999</v>
      </c>
      <c r="G76" s="22">
        <f>225167702.65</f>
        <v>225167702.65000001</v>
      </c>
      <c r="H76" s="22">
        <f>19147000</f>
        <v>19147000</v>
      </c>
      <c r="I76" s="22">
        <f>78976751</f>
        <v>78976751</v>
      </c>
      <c r="J76" s="22">
        <f>127043951.65</f>
        <v>127043951.65000001</v>
      </c>
      <c r="K76" s="22">
        <f>0</f>
        <v>0</v>
      </c>
      <c r="L76" s="22">
        <f>1453796908.2</f>
        <v>1453796908.2</v>
      </c>
    </row>
    <row r="77" spans="1:13" ht="47.25" customHeight="1" x14ac:dyDescent="0.2">
      <c r="B77" s="53" t="s">
        <v>58</v>
      </c>
      <c r="C77" s="54"/>
      <c r="D77" s="54"/>
      <c r="E77" s="55"/>
      <c r="F77" s="22">
        <f>0</f>
        <v>0</v>
      </c>
      <c r="G77" s="22">
        <f>0</f>
        <v>0</v>
      </c>
      <c r="H77" s="22">
        <f>0</f>
        <v>0</v>
      </c>
      <c r="I77" s="22">
        <f>0</f>
        <v>0</v>
      </c>
      <c r="J77" s="22">
        <f>0</f>
        <v>0</v>
      </c>
      <c r="K77" s="22">
        <f>0</f>
        <v>0</v>
      </c>
      <c r="L77" s="22">
        <f>0</f>
        <v>0</v>
      </c>
    </row>
    <row r="78" spans="1:13" ht="47.25" customHeight="1" x14ac:dyDescent="0.2">
      <c r="B78" s="53" t="s">
        <v>59</v>
      </c>
      <c r="C78" s="54"/>
      <c r="D78" s="54"/>
      <c r="E78" s="55"/>
      <c r="F78" s="22">
        <f>18025956.24</f>
        <v>18025956.239999998</v>
      </c>
      <c r="G78" s="22">
        <f>10400000</f>
        <v>10400000</v>
      </c>
      <c r="H78" s="22">
        <f>0</f>
        <v>0</v>
      </c>
      <c r="I78" s="22">
        <f>0</f>
        <v>0</v>
      </c>
      <c r="J78" s="22">
        <f>10400000</f>
        <v>10400000</v>
      </c>
      <c r="K78" s="22">
        <f>0</f>
        <v>0</v>
      </c>
      <c r="L78" s="22">
        <f>7625956.24</f>
        <v>7625956.2400000002</v>
      </c>
    </row>
    <row r="79" spans="1:13" ht="47.25" customHeight="1" x14ac:dyDescent="0.2">
      <c r="B79" s="53" t="s">
        <v>60</v>
      </c>
      <c r="C79" s="54"/>
      <c r="D79" s="54"/>
      <c r="E79" s="55"/>
      <c r="F79" s="22">
        <f>20500012.88</f>
        <v>20500012.879999999</v>
      </c>
      <c r="G79" s="22">
        <f>20000012.88</f>
        <v>20000012.879999999</v>
      </c>
      <c r="H79" s="22">
        <f>0</f>
        <v>0</v>
      </c>
      <c r="I79" s="22">
        <f>0</f>
        <v>0</v>
      </c>
      <c r="J79" s="22">
        <f>20000012.88</f>
        <v>20000012.879999999</v>
      </c>
      <c r="K79" s="22">
        <f>0</f>
        <v>0</v>
      </c>
      <c r="L79" s="22">
        <f>500000</f>
        <v>500000</v>
      </c>
    </row>
    <row r="80" spans="1:13" ht="47.25" customHeight="1" x14ac:dyDescent="0.2">
      <c r="B80" s="53" t="s">
        <v>61</v>
      </c>
      <c r="C80" s="54"/>
      <c r="D80" s="54"/>
      <c r="E80" s="55"/>
      <c r="F80" s="22">
        <f>6028319.73</f>
        <v>6028319.7300000004</v>
      </c>
      <c r="G80" s="22">
        <f>6028319.73</f>
        <v>6028319.7300000004</v>
      </c>
      <c r="H80" s="22">
        <f>0</f>
        <v>0</v>
      </c>
      <c r="I80" s="22">
        <f>0</f>
        <v>0</v>
      </c>
      <c r="J80" s="22">
        <f>6028319.73</f>
        <v>6028319.7300000004</v>
      </c>
      <c r="K80" s="22">
        <f>0</f>
        <v>0</v>
      </c>
      <c r="L80" s="22">
        <f>0</f>
        <v>0</v>
      </c>
    </row>
    <row r="81" spans="1:13" ht="47.25" customHeight="1" x14ac:dyDescent="0.2">
      <c r="B81" s="53" t="s">
        <v>62</v>
      </c>
      <c r="C81" s="54"/>
      <c r="D81" s="54"/>
      <c r="E81" s="55"/>
      <c r="F81" s="22">
        <f>7072227.23</f>
        <v>7072227.2300000004</v>
      </c>
      <c r="G81" s="22">
        <f>7072227.23</f>
        <v>7072227.2300000004</v>
      </c>
      <c r="H81" s="22">
        <f>0</f>
        <v>0</v>
      </c>
      <c r="I81" s="22">
        <f>0</f>
        <v>0</v>
      </c>
      <c r="J81" s="22">
        <f>7072227.23</f>
        <v>7072227.2300000004</v>
      </c>
      <c r="K81" s="22">
        <f>0</f>
        <v>0</v>
      </c>
      <c r="L81" s="22">
        <f>0</f>
        <v>0</v>
      </c>
    </row>
    <row r="82" spans="1:13" ht="47.25" customHeight="1" x14ac:dyDescent="0.2">
      <c r="B82" s="53" t="s">
        <v>63</v>
      </c>
      <c r="C82" s="54"/>
      <c r="D82" s="54"/>
      <c r="E82" s="55"/>
      <c r="F82" s="22">
        <f>0</f>
        <v>0</v>
      </c>
      <c r="G82" s="22">
        <f>0</f>
        <v>0</v>
      </c>
      <c r="H82" s="22">
        <f>0</f>
        <v>0</v>
      </c>
      <c r="I82" s="22">
        <f>0</f>
        <v>0</v>
      </c>
      <c r="J82" s="22">
        <f>0</f>
        <v>0</v>
      </c>
      <c r="K82" s="22">
        <f>0</f>
        <v>0</v>
      </c>
      <c r="L82" s="22">
        <f>0</f>
        <v>0</v>
      </c>
    </row>
    <row r="85" spans="1:13" ht="75" customHeight="1" x14ac:dyDescent="0.2">
      <c r="A85" s="36" t="str">
        <f>CONCATENATE("Informacja z wykonania budżetów miast na prawach powiatu za  ",$C$93," ",$B$94," roku     ",$B$96,"")</f>
        <v xml:space="preserve">Informacja z wykonania budżetów miast na prawach powiatu za  III Kwartały 2023 roku     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</row>
    <row r="86" spans="1:13" ht="13.5" customHeight="1" x14ac:dyDescent="0.2">
      <c r="B86" s="4"/>
    </row>
    <row r="87" spans="1:13" ht="13.5" customHeight="1" x14ac:dyDescent="0.2">
      <c r="B87" s="5"/>
      <c r="C87" s="61"/>
      <c r="D87" s="74"/>
      <c r="E87" s="74"/>
      <c r="F87" s="62"/>
      <c r="G87" s="61" t="s">
        <v>4</v>
      </c>
      <c r="H87" s="62"/>
      <c r="I87" s="61" t="s">
        <v>5</v>
      </c>
      <c r="J87" s="62"/>
      <c r="K87" s="5"/>
    </row>
    <row r="88" spans="1:13" ht="13.5" customHeight="1" x14ac:dyDescent="0.2">
      <c r="B88" s="6"/>
      <c r="C88" s="53" t="s">
        <v>6</v>
      </c>
      <c r="D88" s="54"/>
      <c r="E88" s="54"/>
      <c r="F88" s="55"/>
      <c r="G88" s="59">
        <f>43</f>
        <v>43</v>
      </c>
      <c r="H88" s="60"/>
      <c r="I88" s="46">
        <f>1892146993.67</f>
        <v>1892146993.6700001</v>
      </c>
      <c r="J88" s="47"/>
      <c r="K88" s="7"/>
    </row>
    <row r="89" spans="1:13" ht="13.5" customHeight="1" x14ac:dyDescent="0.2">
      <c r="B89" s="6"/>
      <c r="C89" s="56" t="s">
        <v>7</v>
      </c>
      <c r="D89" s="57"/>
      <c r="E89" s="57"/>
      <c r="F89" s="58"/>
      <c r="G89" s="63">
        <f>23</f>
        <v>23</v>
      </c>
      <c r="H89" s="64"/>
      <c r="I89" s="48">
        <f>-1877826182.49</f>
        <v>-1877826182.49</v>
      </c>
      <c r="J89" s="49"/>
      <c r="K89" s="7"/>
    </row>
    <row r="90" spans="1:13" ht="13.5" customHeight="1" x14ac:dyDescent="0.2">
      <c r="B90" s="6"/>
      <c r="C90" s="53" t="s">
        <v>8</v>
      </c>
      <c r="D90" s="54"/>
      <c r="E90" s="54"/>
      <c r="F90" s="55"/>
      <c r="G90" s="59">
        <f>0</f>
        <v>0</v>
      </c>
      <c r="H90" s="60"/>
      <c r="I90" s="46">
        <f>0</f>
        <v>0</v>
      </c>
      <c r="J90" s="47"/>
      <c r="K90" s="7"/>
    </row>
    <row r="93" spans="1:13" ht="13.5" customHeight="1" x14ac:dyDescent="0.2">
      <c r="A93" s="8" t="s">
        <v>9</v>
      </c>
      <c r="B93" s="8">
        <f>3</f>
        <v>3</v>
      </c>
      <c r="C93" s="8" t="str">
        <f>IF(B93=1,"I Kwartał",IF(B93=2,"II Kwartały",IF(B93=3,"III Kwartały",IF(B93=4,"IV Kwartały","-"))))</f>
        <v>III Kwartały</v>
      </c>
    </row>
    <row r="94" spans="1:13" ht="13.5" customHeight="1" x14ac:dyDescent="0.2">
      <c r="A94" s="8" t="s">
        <v>10</v>
      </c>
      <c r="B94" s="8">
        <f>2023</f>
        <v>2023</v>
      </c>
      <c r="C94" s="9"/>
    </row>
    <row r="95" spans="1:13" ht="13.5" customHeight="1" x14ac:dyDescent="0.2">
      <c r="A95" s="8" t="s">
        <v>11</v>
      </c>
      <c r="B95" s="10" t="str">
        <f>"Nov 14 2023 12:00AM"</f>
        <v>Nov 14 2023 12:00AM</v>
      </c>
      <c r="C95" s="9"/>
    </row>
    <row r="96" spans="1:13" ht="13.5" customHeight="1" x14ac:dyDescent="0.2">
      <c r="A96" s="15" t="s">
        <v>78</v>
      </c>
      <c r="B96" s="10" t="str">
        <f>""</f>
        <v/>
      </c>
    </row>
  </sheetData>
  <mergeCells count="79">
    <mergeCell ref="O6:Q6"/>
    <mergeCell ref="O7:O10"/>
    <mergeCell ref="A66:M66"/>
    <mergeCell ref="L35:L37"/>
    <mergeCell ref="P35:P37"/>
    <mergeCell ref="B75:E75"/>
    <mergeCell ref="F75:L75"/>
    <mergeCell ref="B12:Q12"/>
    <mergeCell ref="B39:Q39"/>
    <mergeCell ref="L70:L73"/>
    <mergeCell ref="G90:H90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C87:F87"/>
    <mergeCell ref="B81:E81"/>
    <mergeCell ref="G69:L69"/>
    <mergeCell ref="H70:H73"/>
    <mergeCell ref="I70:I73"/>
    <mergeCell ref="J70:J73"/>
    <mergeCell ref="I90:J90"/>
    <mergeCell ref="I89:J89"/>
    <mergeCell ref="A6:A10"/>
    <mergeCell ref="C6:N6"/>
    <mergeCell ref="D7:D10"/>
    <mergeCell ref="E7:E10"/>
    <mergeCell ref="B80:E80"/>
    <mergeCell ref="B77:E77"/>
    <mergeCell ref="M35:M37"/>
    <mergeCell ref="B76:E76"/>
    <mergeCell ref="C88:F88"/>
    <mergeCell ref="C89:F89"/>
    <mergeCell ref="C90:F90"/>
    <mergeCell ref="G88:H88"/>
    <mergeCell ref="G87:H87"/>
    <mergeCell ref="G89:H89"/>
    <mergeCell ref="A1:M1"/>
    <mergeCell ref="C5:M5"/>
    <mergeCell ref="A3:M3"/>
    <mergeCell ref="K7:K10"/>
    <mergeCell ref="C7:C10"/>
    <mergeCell ref="B6:B10"/>
    <mergeCell ref="G7:G10"/>
    <mergeCell ref="F7:F10"/>
    <mergeCell ref="I7:I10"/>
    <mergeCell ref="J7:J10"/>
    <mergeCell ref="H7:H10"/>
    <mergeCell ref="Q7:Q10"/>
    <mergeCell ref="C34:N34"/>
    <mergeCell ref="L7:L10"/>
    <mergeCell ref="M7:M10"/>
    <mergeCell ref="N7:N10"/>
    <mergeCell ref="P7:P10"/>
    <mergeCell ref="A30:M30"/>
    <mergeCell ref="O34:Q34"/>
    <mergeCell ref="A32:M32"/>
    <mergeCell ref="B34:B37"/>
    <mergeCell ref="Q35:Q37"/>
    <mergeCell ref="N35:N37"/>
    <mergeCell ref="O35:O37"/>
    <mergeCell ref="D35:D37"/>
    <mergeCell ref="A34:A37"/>
    <mergeCell ref="C35:C37"/>
    <mergeCell ref="E35:E37"/>
    <mergeCell ref="K70:K73"/>
    <mergeCell ref="F35:F37"/>
    <mergeCell ref="G35:G37"/>
    <mergeCell ref="H35:H37"/>
    <mergeCell ref="K35:K37"/>
    <mergeCell ref="I35:I37"/>
    <mergeCell ref="J35:J37"/>
    <mergeCell ref="F69:F73"/>
    <mergeCell ref="G70:G73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2016-08-26T11:41:03Z</cp:lastPrinted>
  <dcterms:created xsi:type="dcterms:W3CDTF">2001-05-17T08:58:03Z</dcterms:created>
  <dcterms:modified xsi:type="dcterms:W3CDTF">2023-11-27T09:46:42Z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2023-11-27T10:46:40.7007065+01:00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GRN-b78cdc48-5265-4591-b816-79ce8e2d5b25</vt:lpwstr>
  </property>
  <property fmtid="{D5CDD505-2E9C-101B-9397-08002B2CF9AE}" pid="7" name="MFHash">
    <vt:lpwstr>WBcX3UZvU4l04qW+bYHwBnHj5ov0G+irigNnNYbVYH8=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