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T\ST7\BeSTi@\2022\II KWARTAŁ\www\MF\Zestawienia zbiorcze\"/>
    </mc:Choice>
  </mc:AlternateContent>
  <bookViews>
    <workbookView xWindow="0" yWindow="0" windowWidth="21600" windowHeight="9735"/>
  </bookViews>
  <sheets>
    <sheet name="doch_wyd" sheetId="4" r:id="rId1"/>
  </sheets>
  <definedNames>
    <definedName name="_xlnm.Print_Area" localSheetId="0">doch_wyd!$A$1:$M$128</definedName>
  </definedNames>
  <calcPr calcId="152511"/>
</workbook>
</file>

<file path=xl/calcChain.xml><?xml version="1.0" encoding="utf-8"?>
<calcChain xmlns="http://schemas.openxmlformats.org/spreadsheetml/2006/main">
  <c r="C128" i="4" l="1"/>
  <c r="C127" i="4"/>
  <c r="C126" i="4"/>
  <c r="C125" i="4"/>
  <c r="D123" i="4"/>
  <c r="C123" i="4"/>
  <c r="D122" i="4"/>
  <c r="C122" i="4"/>
  <c r="D121" i="4"/>
  <c r="C121" i="4"/>
  <c r="D120" i="4"/>
  <c r="C120" i="4"/>
  <c r="D119" i="4"/>
  <c r="C119" i="4"/>
  <c r="D118" i="4"/>
  <c r="C118" i="4"/>
  <c r="D117" i="4"/>
  <c r="C117" i="4"/>
  <c r="D116" i="4"/>
  <c r="C116" i="4"/>
  <c r="D111" i="4"/>
  <c r="C111" i="4"/>
  <c r="D110" i="4"/>
  <c r="C110" i="4"/>
  <c r="D109" i="4"/>
  <c r="C109" i="4"/>
  <c r="D108" i="4"/>
  <c r="C108" i="4"/>
  <c r="D107" i="4"/>
  <c r="C107" i="4"/>
  <c r="D106" i="4"/>
  <c r="C106" i="4"/>
  <c r="D105" i="4"/>
  <c r="C105" i="4"/>
  <c r="D104" i="4"/>
  <c r="C104" i="4"/>
  <c r="D103" i="4"/>
  <c r="C103" i="4"/>
  <c r="D102" i="4"/>
  <c r="C102" i="4"/>
  <c r="D101" i="4"/>
  <c r="C101" i="4"/>
  <c r="D100" i="4"/>
  <c r="C100" i="4"/>
  <c r="D99" i="4"/>
  <c r="C99" i="4"/>
  <c r="D98" i="4"/>
  <c r="C98" i="4"/>
  <c r="I90" i="4"/>
  <c r="H90" i="4"/>
  <c r="G90" i="4"/>
  <c r="F90" i="4"/>
  <c r="E90" i="4"/>
  <c r="D90" i="4"/>
  <c r="C90" i="4"/>
  <c r="I89" i="4"/>
  <c r="H89" i="4"/>
  <c r="G89" i="4"/>
  <c r="F89" i="4"/>
  <c r="E89" i="4"/>
  <c r="D89" i="4"/>
  <c r="C89" i="4"/>
  <c r="I83" i="4"/>
  <c r="H83" i="4"/>
  <c r="G83" i="4"/>
  <c r="F83" i="4"/>
  <c r="E83" i="4"/>
  <c r="D83" i="4"/>
  <c r="J83" i="4" s="1"/>
  <c r="C83" i="4"/>
  <c r="I82" i="4"/>
  <c r="H82" i="4"/>
  <c r="G82" i="4"/>
  <c r="F82" i="4"/>
  <c r="E82" i="4"/>
  <c r="D82" i="4"/>
  <c r="C82" i="4"/>
  <c r="I81" i="4"/>
  <c r="H81" i="4"/>
  <c r="G81" i="4"/>
  <c r="F81" i="4"/>
  <c r="E81" i="4"/>
  <c r="D81" i="4"/>
  <c r="C81" i="4"/>
  <c r="I80" i="4"/>
  <c r="H80" i="4"/>
  <c r="G80" i="4"/>
  <c r="F80" i="4"/>
  <c r="E80" i="4"/>
  <c r="D80" i="4"/>
  <c r="C80" i="4"/>
  <c r="I79" i="4"/>
  <c r="H79" i="4"/>
  <c r="G79" i="4"/>
  <c r="F79" i="4"/>
  <c r="E79" i="4"/>
  <c r="D79" i="4"/>
  <c r="C79" i="4"/>
  <c r="I77" i="4"/>
  <c r="H77" i="4"/>
  <c r="G77" i="4"/>
  <c r="F77" i="4"/>
  <c r="E77" i="4"/>
  <c r="D77" i="4"/>
  <c r="C77" i="4"/>
  <c r="I76" i="4"/>
  <c r="H76" i="4"/>
  <c r="G76" i="4"/>
  <c r="F76" i="4"/>
  <c r="E76" i="4"/>
  <c r="D76" i="4"/>
  <c r="C76" i="4"/>
  <c r="I75" i="4"/>
  <c r="H75" i="4"/>
  <c r="G75" i="4"/>
  <c r="F75" i="4"/>
  <c r="E75" i="4"/>
  <c r="D75" i="4"/>
  <c r="C75" i="4"/>
  <c r="I66" i="4"/>
  <c r="H66" i="4"/>
  <c r="G66" i="4"/>
  <c r="F66" i="4"/>
  <c r="E66" i="4"/>
  <c r="D66" i="4"/>
  <c r="C66" i="4"/>
  <c r="D63" i="4"/>
  <c r="C63" i="4"/>
  <c r="D62" i="4"/>
  <c r="C62" i="4"/>
  <c r="D60" i="4"/>
  <c r="J60" i="4" s="1"/>
  <c r="C60" i="4"/>
  <c r="D59" i="4"/>
  <c r="C59" i="4"/>
  <c r="D58" i="4"/>
  <c r="C58" i="4"/>
  <c r="D56" i="4"/>
  <c r="C56" i="4"/>
  <c r="D55" i="4"/>
  <c r="C55" i="4"/>
  <c r="D53" i="4"/>
  <c r="C53" i="4"/>
  <c r="D52" i="4"/>
  <c r="C52" i="4"/>
  <c r="D51" i="4"/>
  <c r="C51" i="4"/>
  <c r="D50" i="4"/>
  <c r="C50" i="4"/>
  <c r="D49" i="4"/>
  <c r="C49" i="4"/>
  <c r="D48" i="4"/>
  <c r="C48" i="4"/>
  <c r="D47" i="4"/>
  <c r="C47" i="4"/>
  <c r="D46" i="4"/>
  <c r="C46" i="4"/>
  <c r="D45" i="4"/>
  <c r="C45" i="4"/>
  <c r="D44" i="4"/>
  <c r="C44" i="4"/>
  <c r="D43" i="4"/>
  <c r="C43" i="4"/>
  <c r="D42" i="4"/>
  <c r="C42" i="4"/>
  <c r="D41" i="4"/>
  <c r="C41" i="4"/>
  <c r="D40" i="4"/>
  <c r="C40" i="4"/>
  <c r="D38" i="4"/>
  <c r="C38" i="4"/>
  <c r="D37" i="4"/>
  <c r="C37" i="4"/>
  <c r="D36" i="4"/>
  <c r="C36" i="4"/>
  <c r="D35" i="4"/>
  <c r="C35" i="4"/>
  <c r="D34" i="4"/>
  <c r="C34" i="4"/>
  <c r="D33" i="4"/>
  <c r="C33" i="4"/>
  <c r="D31" i="4"/>
  <c r="C31" i="4"/>
  <c r="D30" i="4"/>
  <c r="C30" i="4"/>
  <c r="D29" i="4"/>
  <c r="C29" i="4"/>
  <c r="D28" i="4"/>
  <c r="C28" i="4"/>
  <c r="D27" i="4"/>
  <c r="C27" i="4"/>
  <c r="D26" i="4"/>
  <c r="C26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F8" i="4"/>
  <c r="E8" i="4"/>
  <c r="D8" i="4"/>
  <c r="C8" i="4"/>
  <c r="I7" i="4"/>
  <c r="H7" i="4"/>
  <c r="G7" i="4"/>
  <c r="F7" i="4"/>
  <c r="E7" i="4"/>
  <c r="D7" i="4"/>
  <c r="C7" i="4"/>
  <c r="I5" i="4"/>
  <c r="H5" i="4"/>
  <c r="G5" i="4"/>
  <c r="F5" i="4"/>
  <c r="E5" i="4"/>
  <c r="D5" i="4"/>
  <c r="C5" i="4"/>
  <c r="K19" i="4"/>
  <c r="E78" i="4"/>
  <c r="E84" i="4" s="1"/>
  <c r="K82" i="4"/>
  <c r="E91" i="4"/>
  <c r="F100" i="4"/>
  <c r="F104" i="4"/>
  <c r="F108" i="4"/>
  <c r="F6" i="4"/>
  <c r="F22" i="4" s="1"/>
  <c r="F65" i="4"/>
  <c r="F67" i="4"/>
  <c r="G6" i="4"/>
  <c r="G22" i="4" s="1"/>
  <c r="G65" i="4"/>
  <c r="G67" i="4"/>
  <c r="K10" i="4"/>
  <c r="K18" i="4"/>
  <c r="K28" i="4"/>
  <c r="C32" i="4"/>
  <c r="K33" i="4"/>
  <c r="K37" i="4"/>
  <c r="K42" i="4"/>
  <c r="K46" i="4"/>
  <c r="K50" i="4"/>
  <c r="K55" i="4"/>
  <c r="F78" i="4"/>
  <c r="F84" i="4" s="1"/>
  <c r="K81" i="4"/>
  <c r="F91" i="4"/>
  <c r="H65" i="4"/>
  <c r="H67" i="4"/>
  <c r="H6" i="4"/>
  <c r="H22" i="4" s="1"/>
  <c r="K9" i="4"/>
  <c r="K17" i="4"/>
  <c r="D32" i="4"/>
  <c r="J32" i="4" s="1"/>
  <c r="G78" i="4"/>
  <c r="G84" i="4"/>
  <c r="K80" i="4"/>
  <c r="G91" i="4"/>
  <c r="F101" i="4"/>
  <c r="F105" i="4"/>
  <c r="F109" i="4"/>
  <c r="I6" i="4"/>
  <c r="I22" i="4" s="1"/>
  <c r="I65" i="4"/>
  <c r="I67" i="4" s="1"/>
  <c r="K8" i="4"/>
  <c r="K16" i="4"/>
  <c r="K29" i="4"/>
  <c r="K34" i="4"/>
  <c r="K38" i="4"/>
  <c r="K43" i="4"/>
  <c r="K47" i="4"/>
  <c r="K51" i="4"/>
  <c r="K56" i="4"/>
  <c r="K62" i="4"/>
  <c r="C61" i="4"/>
  <c r="H78" i="4"/>
  <c r="H84" i="4" s="1"/>
  <c r="K79" i="4"/>
  <c r="H91" i="4"/>
  <c r="K11" i="4"/>
  <c r="K7" i="4"/>
  <c r="K15" i="4"/>
  <c r="D61" i="4"/>
  <c r="J61" i="4" s="1"/>
  <c r="I78" i="4"/>
  <c r="I84" i="4" s="1"/>
  <c r="K77" i="4"/>
  <c r="I91" i="4"/>
  <c r="F98" i="4"/>
  <c r="F102" i="4"/>
  <c r="F110" i="4"/>
  <c r="C65" i="4"/>
  <c r="C67" i="4" s="1"/>
  <c r="C85" i="4"/>
  <c r="K5" i="4"/>
  <c r="K14" i="4"/>
  <c r="K26" i="4"/>
  <c r="C25" i="4"/>
  <c r="K30" i="4"/>
  <c r="K35" i="4"/>
  <c r="K40" i="4"/>
  <c r="C39" i="4"/>
  <c r="K44" i="4"/>
  <c r="K48" i="4"/>
  <c r="K52" i="4"/>
  <c r="C57" i="4"/>
  <c r="K58" i="4"/>
  <c r="K63" i="4"/>
  <c r="K76" i="4"/>
  <c r="K90" i="4"/>
  <c r="E103" i="4"/>
  <c r="E105" i="4"/>
  <c r="E98" i="4"/>
  <c r="E100" i="4"/>
  <c r="E99" i="4"/>
  <c r="E104" i="4"/>
  <c r="E102" i="4"/>
  <c r="E101" i="4"/>
  <c r="D125" i="4"/>
  <c r="B93" i="4" s="1"/>
  <c r="J29" i="4"/>
  <c r="J48" i="4"/>
  <c r="J21" i="4"/>
  <c r="J37" i="4"/>
  <c r="J52" i="4"/>
  <c r="J16" i="4"/>
  <c r="J53" i="4"/>
  <c r="J8" i="4"/>
  <c r="J47" i="4"/>
  <c r="J42" i="4"/>
  <c r="J33" i="4"/>
  <c r="J14" i="4"/>
  <c r="J49" i="4"/>
  <c r="J5" i="4"/>
  <c r="J38" i="4"/>
  <c r="J50" i="4"/>
  <c r="J45" i="4"/>
  <c r="J26" i="4"/>
  <c r="J13" i="4"/>
  <c r="J55" i="4"/>
  <c r="J35" i="4"/>
  <c r="J17" i="4"/>
  <c r="J9" i="4"/>
  <c r="J51" i="4"/>
  <c r="J31" i="4"/>
  <c r="J12" i="4"/>
  <c r="J63" i="4"/>
  <c r="D85" i="4"/>
  <c r="J36" i="4"/>
  <c r="J46" i="4"/>
  <c r="J7" i="4"/>
  <c r="J43" i="4"/>
  <c r="J19" i="4"/>
  <c r="J34" i="4"/>
  <c r="J62" i="4"/>
  <c r="J30" i="4"/>
  <c r="D65" i="4"/>
  <c r="D67" i="4"/>
  <c r="J67" i="4"/>
  <c r="J56" i="4"/>
  <c r="J15" i="4"/>
  <c r="J18" i="4"/>
  <c r="J66" i="4"/>
  <c r="J20" i="4"/>
  <c r="J41" i="4"/>
  <c r="J44" i="4"/>
  <c r="J27" i="4"/>
  <c r="J58" i="4"/>
  <c r="J59" i="4"/>
  <c r="J40" i="4"/>
  <c r="J10" i="4"/>
  <c r="J28" i="4"/>
  <c r="J11" i="4"/>
  <c r="K13" i="4"/>
  <c r="K21" i="4"/>
  <c r="D25" i="4"/>
  <c r="D39" i="4"/>
  <c r="J39" i="4" s="1"/>
  <c r="D57" i="4"/>
  <c r="J57" i="4" s="1"/>
  <c r="C78" i="4"/>
  <c r="C84" i="4" s="1"/>
  <c r="K75" i="4"/>
  <c r="K89" i="4"/>
  <c r="C91" i="4"/>
  <c r="K91" i="4"/>
  <c r="F99" i="4"/>
  <c r="F103" i="4"/>
  <c r="F107" i="4"/>
  <c r="F111" i="4"/>
  <c r="E65" i="4"/>
  <c r="E67" i="4"/>
  <c r="E6" i="4"/>
  <c r="E22" i="4" s="1"/>
  <c r="K12" i="4"/>
  <c r="K20" i="4"/>
  <c r="K27" i="4"/>
  <c r="K31" i="4"/>
  <c r="K36" i="4"/>
  <c r="K41" i="4"/>
  <c r="K45" i="4"/>
  <c r="K49" i="4"/>
  <c r="K53" i="4"/>
  <c r="K59" i="4"/>
  <c r="K66" i="4"/>
  <c r="D78" i="4"/>
  <c r="J78" i="4" s="1"/>
  <c r="J80" i="4"/>
  <c r="J75" i="4"/>
  <c r="J77" i="4"/>
  <c r="J82" i="4"/>
  <c r="J79" i="4"/>
  <c r="J81" i="4"/>
  <c r="J76" i="4"/>
  <c r="K83" i="4"/>
  <c r="J90" i="4"/>
  <c r="J89" i="4"/>
  <c r="D91" i="4"/>
  <c r="J91" i="4"/>
  <c r="E108" i="4"/>
  <c r="E111" i="4"/>
  <c r="E107" i="4"/>
  <c r="E109" i="4"/>
  <c r="E110" i="4"/>
  <c r="J65" i="4"/>
  <c r="K25" i="4"/>
  <c r="K65" i="4"/>
  <c r="C54" i="4" l="1"/>
  <c r="B68" i="4"/>
  <c r="B1" i="4"/>
  <c r="D84" i="4"/>
  <c r="J84" i="4" s="1"/>
  <c r="D86" i="4"/>
  <c r="K78" i="4"/>
  <c r="K84" i="4"/>
  <c r="K61" i="4"/>
  <c r="K60" i="4"/>
  <c r="D54" i="4"/>
  <c r="J54" i="4" s="1"/>
  <c r="K57" i="4"/>
  <c r="K39" i="4"/>
  <c r="C24" i="4"/>
  <c r="K32" i="4"/>
  <c r="D24" i="4"/>
  <c r="K24" i="4" s="1"/>
  <c r="J25" i="4"/>
  <c r="C23" i="4"/>
  <c r="K67" i="4"/>
  <c r="C86" i="4"/>
  <c r="K54" i="4" l="1"/>
  <c r="D23" i="4"/>
  <c r="D6" i="4" s="1"/>
  <c r="J24" i="4"/>
  <c r="J23" i="4"/>
  <c r="C6" i="4"/>
  <c r="K23" i="4"/>
  <c r="L15" i="4" l="1"/>
  <c r="L11" i="4"/>
  <c r="L17" i="4"/>
  <c r="L16" i="4"/>
  <c r="L9" i="4"/>
  <c r="L6" i="4"/>
  <c r="L7" i="4"/>
  <c r="L10" i="4"/>
  <c r="D22" i="4"/>
  <c r="L12" i="4"/>
  <c r="L18" i="4"/>
  <c r="L20" i="4"/>
  <c r="L14" i="4"/>
  <c r="J6" i="4"/>
  <c r="L8" i="4"/>
  <c r="L21" i="4"/>
  <c r="L19" i="4"/>
  <c r="L13" i="4"/>
  <c r="K6" i="4"/>
  <c r="C22" i="4"/>
  <c r="K22" i="4" l="1"/>
  <c r="L22" i="4"/>
  <c r="J22" i="4"/>
</calcChain>
</file>

<file path=xl/sharedStrings.xml><?xml version="1.0" encoding="utf-8"?>
<sst xmlns="http://schemas.openxmlformats.org/spreadsheetml/2006/main" count="347" uniqueCount="117">
  <si>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</si>
  <si>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</si>
  <si>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</si>
  <si>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</si>
  <si>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</si>
  <si>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</si>
  <si>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</si>
  <si>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</si>
  <si>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</si>
  <si>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</si>
  <si>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</si>
  <si>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</si>
  <si>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</si>
  <si>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</si>
  <si>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</si>
  <si>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</si>
  <si>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</si>
  <si>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</si>
  <si>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</si>
  <si>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 xml:space="preserve">podatek rolny  </t>
  </si>
  <si>
    <t xml:space="preserve">podatek od nieruchomości </t>
  </si>
  <si>
    <t xml:space="preserve">podatek leśny        </t>
  </si>
  <si>
    <t>podatek od środków transportowych</t>
  </si>
  <si>
    <t>dochody z majątku</t>
  </si>
  <si>
    <t xml:space="preserve">pozostałe dochody </t>
  </si>
  <si>
    <t>Struktura</t>
  </si>
  <si>
    <t>Wskaźnik</t>
  </si>
  <si>
    <t xml:space="preserve">podatek od spadków i darowizn       </t>
  </si>
  <si>
    <t>podatek od czynności cywilnoprawnych</t>
  </si>
  <si>
    <t>inne cele</t>
  </si>
  <si>
    <t>w tym wymagalne: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</si>
  <si>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</si>
  <si>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</si>
  <si>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</si>
  <si>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</si>
  <si>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</si>
  <si>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</si>
  <si>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</si>
  <si>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uzupełnienie subwencji ogólnej</t>
  </si>
  <si>
    <t xml:space="preserve">podatek od dział. gosp. osób fizycznych, opłacany w formie karty podatkowej </t>
  </si>
  <si>
    <t>część równoważąca</t>
  </si>
  <si>
    <t>część rekompensująca</t>
  </si>
  <si>
    <t>część oświatowa</t>
  </si>
  <si>
    <t>część wyrównawcza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</si>
  <si>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</si>
  <si>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</si>
  <si>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</si>
  <si>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</si>
  <si>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</si>
  <si>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</si>
  <si>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</si>
  <si>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</si>
  <si>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</si>
  <si>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opłata skarbowa</t>
  </si>
  <si>
    <t>opłata eksploatacyjna</t>
  </si>
  <si>
    <t>opłata targowa</t>
  </si>
  <si>
    <t>- część gminna</t>
  </si>
  <si>
    <t>- część powiatowa</t>
  </si>
  <si>
    <t>- pozostałe</t>
  </si>
  <si>
    <t>#</t>
  </si>
  <si>
    <t>Razem dochody własne 
z tego:</t>
  </si>
  <si>
    <t>podatek dochodowy od osób prawnych - 
część gminna</t>
  </si>
  <si>
    <t>podatek dochodowy od osób prawnych - 
część powiatowa</t>
  </si>
  <si>
    <t>podatek dochodowy od osób fizycznych - 
część gminna</t>
  </si>
  <si>
    <t>podatek dochodowy od osób fizycznych - 
część powiatowa</t>
  </si>
  <si>
    <t>Dotacje celowe 
z tego:</t>
  </si>
  <si>
    <t>Subwencja ogólna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</si>
  <si>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</si>
  <si>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</si>
  <si>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</si>
  <si>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</si>
  <si>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</si>
  <si>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</si>
  <si>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</si>
  <si>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</si>
  <si>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</si>
  <si>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tytul</t>
  </si>
  <si>
    <t>majątkowe</t>
  </si>
  <si>
    <t>bieżące</t>
  </si>
  <si>
    <t>UE</t>
  </si>
  <si>
    <t>wydatki majątkowe</t>
  </si>
  <si>
    <t>wydatki bieżące</t>
  </si>
  <si>
    <t>w złotych</t>
  </si>
  <si>
    <t>z tytułu pomocy finansowej udzielanej między jst na dofinansowanie własnych zadań</t>
  </si>
  <si>
    <t>inne źródła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</si>
  <si>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</si>
  <si>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</si>
  <si>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</si>
  <si>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</si>
  <si>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</si>
  <si>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Dotacje §§ 200 i 620</t>
  </si>
  <si>
    <t>w tym: inwestycyjne § 620</t>
  </si>
  <si>
    <t>Dotacje §§ 205 i 625</t>
  </si>
  <si>
    <t>w tym: inwestycyjne § 625</t>
  </si>
  <si>
    <t>WYDATKI OGÓŁEM UE                    z tego:</t>
  </si>
  <si>
    <t>kredyty, pożyczki, emisja papierów wartościowych w tym:</t>
  </si>
  <si>
    <t>ze sprzedaży papierów wartościowych</t>
  </si>
  <si>
    <t>spłata  udzielonych pożyczek</t>
  </si>
  <si>
    <t>prywatyzacja majątku JST</t>
  </si>
  <si>
    <t>spłaty kredytów i pożyczek, wykup papierów wartościowych w tym:</t>
  </si>
  <si>
    <t>wykup papierów wartościowych</t>
  </si>
  <si>
    <t>wolne środki, o których mowa w art. 217 ust. 2 pkt 6 ustawy o finansach publicznych</t>
  </si>
  <si>
    <t>niewykorzystane środki pieniężne o których mowa w art.217 ust.2 pkt.8 ustawy o finansach publicznych</t>
  </si>
  <si>
    <t xml:space="preserve">otrzymane ze środków z Funduszu Przeciwdziałania COVID-19 (m.in. z Rządowego Funduszu Inwestycji Lokalnych) </t>
  </si>
  <si>
    <t>w tym: inwestycyjne</t>
  </si>
  <si>
    <t>na finansowanie lub dofinansowanie zadań inwestycyjnych obiektów zabytkowych oraz prac remontowych i konserwatorskich przy zabytkach</t>
  </si>
  <si>
    <t>nadwyżka z lat ubiegłych, pomniejszona o niewykorzystane środki pieniężne, o których mowa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</si>
  <si>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</si>
  <si>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</si>
  <si>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nadwyżka budżetu jednostki samorządu terytorialnego z lat ubiegłych, pomniejszona o środki określone w art. 217 ust. 2 pkt 8 ustawy o finansach publicznych</t>
  </si>
  <si>
    <t>wynagrodzenia i składki od nich naliczane</t>
  </si>
  <si>
    <t>FINANSOWANIE DEFICYTU (E1+E2+E3+E4+E5+E6+E7) 
z tego:</t>
  </si>
  <si>
    <t>Dotacje ogółem 
z tego:</t>
  </si>
  <si>
    <t>Subwencja ogólna dla gmin 
z tego:</t>
  </si>
  <si>
    <t>Subwencja ogólna dla powiatów 
z tego:</t>
  </si>
  <si>
    <t>Dochody bieżące 
minus 
Wydatki bieżące</t>
  </si>
  <si>
    <t>udzielone pożyczki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</si>
</sst>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"/>
    <numFmt numFmtId="165" formatCode="dd/mm/yy\ h:mm;@"/>
  </numFmts>
  <fonts count="37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4"/>
      <name val="Arial"/>
      <family val="2"/>
      <charset val="238"/>
    </font>
    <font>
      <b/>
      <sz val="7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2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3" borderId="0" applyNumberFormat="0" applyBorder="0" applyAlignment="0" applyProtection="0"/>
    <xf numFmtId="0" fontId="12" fillId="8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3" fillId="10" borderId="0" applyNumberFormat="0" applyBorder="0" applyAlignment="0" applyProtection="0"/>
    <xf numFmtId="0" fontId="13" fillId="3" borderId="0" applyNumberFormat="0" applyBorder="0" applyAlignment="0" applyProtection="0"/>
    <xf numFmtId="0" fontId="13" fillId="8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6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43" fontId="29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18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1" applyNumberFormat="0" applyAlignment="0" applyProtection="0"/>
    <xf numFmtId="0" fontId="23" fillId="0" borderId="7" applyNumberFormat="0" applyFill="0" applyAlignment="0" applyProtection="0"/>
    <xf numFmtId="0" fontId="24" fillId="8" borderId="0" applyNumberFormat="0" applyBorder="0" applyAlignment="0" applyProtection="0"/>
    <xf numFmtId="0" fontId="35" fillId="0" borderId="0"/>
    <xf numFmtId="0" fontId="1" fillId="4" borderId="8" applyNumberFormat="0" applyFont="0" applyAlignment="0" applyProtection="0"/>
    <xf numFmtId="0" fontId="25" fillId="16" borderId="3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</cellStyleXfs>
  <cellXfs count="127">
    <xf numFmtId="0" fontId="0" fillId="0" borderId="0" xfId="0"/>
    <xf numFmtId="164" fontId="5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0" xfId="0" applyFont="1" applyFill="1" applyBorder="1" applyAlignment="1">
      <alignment horizontal="left" vertical="center" wrapText="1" indent="2"/>
    </xf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0" fontId="6" fillId="19" borderId="1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4" fontId="31" fillId="21" borderId="10" xfId="0" applyNumberFormat="1" applyFont="1" applyFill="1" applyBorder="1" applyAlignment="1">
      <alignment horizontal="center" vertical="center"/>
    </xf>
    <xf numFmtId="4" fontId="32" fillId="0" borderId="10" xfId="0" applyNumberFormat="1" applyFont="1" applyBorder="1" applyAlignment="1">
      <alignment horizontal="center" vertical="center"/>
    </xf>
    <xf numFmtId="164" fontId="32" fillId="0" borderId="10" xfId="0" applyNumberFormat="1" applyFont="1" applyFill="1" applyBorder="1" applyAlignment="1">
      <alignment horizontal="center" vertical="center"/>
    </xf>
    <xf numFmtId="4" fontId="32" fillId="0" borderId="10" xfId="0" applyNumberFormat="1" applyFont="1" applyFill="1" applyBorder="1" applyAlignment="1">
      <alignment horizontal="center" vertical="center"/>
    </xf>
    <xf numFmtId="4" fontId="32" fillId="21" borderId="10" xfId="0" applyNumberFormat="1" applyFont="1" applyFill="1" applyBorder="1" applyAlignment="1">
      <alignment horizontal="center" vertical="center"/>
    </xf>
    <xf numFmtId="164" fontId="32" fillId="0" borderId="0" xfId="0" applyNumberFormat="1" applyFont="1" applyFill="1" applyBorder="1" applyAlignment="1">
      <alignment horizontal="center" vertical="center"/>
    </xf>
    <xf numFmtId="164" fontId="33" fillId="0" borderId="0" xfId="0" applyNumberFormat="1" applyFont="1" applyAlignment="1">
      <alignment horizontal="center" vertical="center"/>
    </xf>
    <xf numFmtId="164" fontId="32" fillId="20" borderId="10" xfId="0" applyNumberFormat="1" applyFont="1" applyFill="1" applyBorder="1" applyAlignment="1">
      <alignment horizontal="center" vertical="center"/>
    </xf>
    <xf numFmtId="4" fontId="32" fillId="22" borderId="10" xfId="0" applyNumberFormat="1" applyFont="1" applyFill="1" applyBorder="1" applyAlignment="1">
      <alignment horizontal="center" vertical="center"/>
    </xf>
    <xf numFmtId="164" fontId="32" fillId="22" borderId="1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164" fontId="33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" fontId="32" fillId="0" borderId="0" xfId="0" applyNumberFormat="1" applyFont="1" applyFill="1" applyBorder="1" applyAlignment="1">
      <alignment horizontal="center" vertical="center"/>
    </xf>
    <xf numFmtId="164" fontId="33" fillId="0" borderId="0" xfId="0" applyNumberFormat="1" applyFont="1" applyFill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164" fontId="34" fillId="21" borderId="10" xfId="0" applyNumberFormat="1" applyFont="1" applyFill="1" applyBorder="1" applyAlignment="1">
      <alignment horizontal="center" vertical="center"/>
    </xf>
    <xf numFmtId="4" fontId="33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3" fontId="31" fillId="0" borderId="0" xfId="0" applyNumberFormat="1" applyFont="1" applyBorder="1" applyAlignment="1">
      <alignment horizontal="center" vertical="center"/>
    </xf>
    <xf numFmtId="164" fontId="33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164" fontId="34" fillId="0" borderId="10" xfId="0" applyNumberFormat="1" applyFont="1" applyFill="1" applyBorder="1" applyAlignment="1">
      <alignment horizontal="center" vertical="center"/>
    </xf>
    <xf numFmtId="164" fontId="34" fillId="20" borderId="10" xfId="28" applyNumberFormat="1" applyFont="1" applyFill="1" applyBorder="1" applyAlignment="1">
      <alignment horizontal="center" vertical="center"/>
    </xf>
    <xf numFmtId="164" fontId="34" fillId="22" borderId="10" xfId="28" applyNumberFormat="1" applyFont="1" applyFill="1" applyBorder="1" applyAlignment="1">
      <alignment horizontal="center" vertical="center"/>
    </xf>
    <xf numFmtId="164" fontId="34" fillId="22" borderId="10" xfId="0" applyNumberFormat="1" applyFont="1" applyFill="1" applyBorder="1" applyAlignment="1">
      <alignment horizontal="center" vertical="center"/>
    </xf>
    <xf numFmtId="164" fontId="34" fillId="0" borderId="10" xfId="28" applyNumberFormat="1" applyFont="1" applyFill="1" applyBorder="1" applyAlignment="1">
      <alignment horizontal="center" vertical="center"/>
    </xf>
    <xf numFmtId="164" fontId="34" fillId="21" borderId="10" xfId="28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0" fontId="6" fillId="19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4" fontId="34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4" fontId="31" fillId="0" borderId="0" xfId="0" applyNumberFormat="1" applyFont="1" applyFill="1" applyBorder="1" applyAlignment="1">
      <alignment horizontal="center" vertical="center" wrapText="1"/>
    </xf>
    <xf numFmtId="4" fontId="32" fillId="0" borderId="0" xfId="0" applyNumberFormat="1" applyFont="1" applyFill="1" applyBorder="1" applyAlignment="1">
      <alignment horizontal="center" vertical="center" wrapText="1"/>
    </xf>
    <xf numFmtId="3" fontId="31" fillId="0" borderId="14" xfId="0" applyNumberFormat="1" applyFont="1" applyBorder="1" applyAlignment="1">
      <alignment horizontal="center" vertical="center"/>
    </xf>
    <xf numFmtId="164" fontId="33" fillId="0" borderId="14" xfId="0" applyNumberFormat="1" applyFont="1" applyBorder="1" applyAlignment="1">
      <alignment horizontal="center"/>
    </xf>
    <xf numFmtId="0" fontId="33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" fontId="31" fillId="0" borderId="12" xfId="0" applyNumberFormat="1" applyFont="1" applyFill="1" applyBorder="1" applyAlignment="1">
      <alignment horizontal="center" vertical="center" wrapText="1"/>
    </xf>
    <xf numFmtId="164" fontId="34" fillId="0" borderId="11" xfId="0" applyNumberFormat="1" applyFont="1" applyFill="1" applyBorder="1" applyAlignment="1">
      <alignment horizontal="center" vertical="center"/>
    </xf>
    <xf numFmtId="0" fontId="10" fillId="20" borderId="10" xfId="0" applyFont="1" applyFill="1" applyBorder="1" applyAlignment="1">
      <alignment horizontal="left" vertical="center" wrapText="1"/>
    </xf>
    <xf numFmtId="0" fontId="36" fillId="0" borderId="10" xfId="38" applyFont="1" applyFill="1" applyBorder="1" applyAlignment="1">
      <alignment horizontal="left" vertical="center" wrapText="1"/>
    </xf>
    <xf numFmtId="0" fontId="7" fillId="21" borderId="10" xfId="0" applyFont="1" applyFill="1" applyBorder="1" applyAlignment="1">
      <alignment horizontal="left" vertical="center" wrapText="1"/>
    </xf>
    <xf numFmtId="0" fontId="10" fillId="21" borderId="10" xfId="0" applyFont="1" applyFill="1" applyBorder="1" applyAlignment="1">
      <alignment horizontal="left" vertical="center" wrapText="1"/>
    </xf>
    <xf numFmtId="4" fontId="31" fillId="21" borderId="10" xfId="0" applyNumberFormat="1" applyFont="1" applyFill="1" applyBorder="1" applyAlignment="1">
      <alignment horizontal="right" vertical="center"/>
    </xf>
    <xf numFmtId="4" fontId="32" fillId="0" borderId="10" xfId="0" applyNumberFormat="1" applyFont="1" applyBorder="1" applyAlignment="1">
      <alignment horizontal="right" vertical="center"/>
    </xf>
    <xf numFmtId="4" fontId="32" fillId="0" borderId="10" xfId="0" applyNumberFormat="1" applyFont="1" applyFill="1" applyBorder="1" applyAlignment="1">
      <alignment horizontal="right" vertical="center"/>
    </xf>
    <xf numFmtId="4" fontId="33" fillId="0" borderId="10" xfId="0" applyNumberFormat="1" applyFont="1" applyFill="1" applyBorder="1" applyAlignment="1">
      <alignment horizontal="right" vertical="center"/>
    </xf>
    <xf numFmtId="4" fontId="33" fillId="0" borderId="10" xfId="0" applyNumberFormat="1" applyFont="1" applyBorder="1" applyAlignment="1">
      <alignment horizontal="right" vertical="center"/>
    </xf>
    <xf numFmtId="4" fontId="32" fillId="22" borderId="10" xfId="0" applyNumberFormat="1" applyFont="1" applyFill="1" applyBorder="1" applyAlignment="1">
      <alignment horizontal="right" vertical="center"/>
    </xf>
    <xf numFmtId="4" fontId="32" fillId="21" borderId="10" xfId="0" applyNumberFormat="1" applyFont="1" applyFill="1" applyBorder="1" applyAlignment="1">
      <alignment horizontal="right" vertical="center"/>
    </xf>
    <xf numFmtId="4" fontId="34" fillId="21" borderId="10" xfId="0" applyNumberFormat="1" applyFont="1" applyFill="1" applyBorder="1" applyAlignment="1">
      <alignment horizontal="right" vertical="center"/>
    </xf>
    <xf numFmtId="4" fontId="31" fillId="21" borderId="10" xfId="0" applyNumberFormat="1" applyFont="1" applyFill="1" applyBorder="1" applyAlignment="1">
      <alignment horizontal="right" vertical="center" wrapText="1"/>
    </xf>
    <xf numFmtId="4" fontId="32" fillId="0" borderId="10" xfId="0" applyNumberFormat="1" applyFont="1" applyFill="1" applyBorder="1" applyAlignment="1">
      <alignment horizontal="right" vertical="center" wrapText="1"/>
    </xf>
    <xf numFmtId="4" fontId="32" fillId="0" borderId="13" xfId="0" applyNumberFormat="1" applyFont="1" applyFill="1" applyBorder="1" applyAlignment="1">
      <alignment horizontal="right" vertical="center" wrapText="1"/>
    </xf>
    <xf numFmtId="4" fontId="32" fillId="21" borderId="15" xfId="0" applyNumberFormat="1" applyFont="1" applyFill="1" applyBorder="1" applyAlignment="1">
      <alignment horizontal="right" vertical="center" wrapText="1"/>
    </xf>
    <xf numFmtId="4" fontId="32" fillId="21" borderId="11" xfId="0" applyNumberFormat="1" applyFont="1" applyFill="1" applyBorder="1" applyAlignment="1">
      <alignment horizontal="right" vertical="center" wrapText="1"/>
    </xf>
    <xf numFmtId="4" fontId="32" fillId="0" borderId="16" xfId="0" applyNumberFormat="1" applyFont="1" applyFill="1" applyBorder="1" applyAlignment="1">
      <alignment horizontal="right" vertical="center" wrapText="1"/>
    </xf>
    <xf numFmtId="4" fontId="34" fillId="20" borderId="13" xfId="0" applyNumberFormat="1" applyFont="1" applyFill="1" applyBorder="1" applyAlignment="1">
      <alignment horizontal="right" vertical="center"/>
    </xf>
    <xf numFmtId="4" fontId="33" fillId="0" borderId="13" xfId="0" applyNumberFormat="1" applyFont="1" applyBorder="1" applyAlignment="1">
      <alignment horizontal="right" vertical="center"/>
    </xf>
    <xf numFmtId="4" fontId="33" fillId="0" borderId="13" xfId="0" applyNumberFormat="1" applyFont="1" applyFill="1" applyBorder="1" applyAlignment="1">
      <alignment horizontal="right" vertical="center"/>
    </xf>
    <xf numFmtId="4" fontId="34" fillId="21" borderId="13" xfId="0" applyNumberFormat="1" applyFont="1" applyFill="1" applyBorder="1" applyAlignment="1">
      <alignment horizontal="right" vertical="center"/>
    </xf>
    <xf numFmtId="0" fontId="6" fillId="0" borderId="17" xfId="0" applyFont="1" applyBorder="1" applyAlignment="1">
      <alignment horizontal="center"/>
    </xf>
    <xf numFmtId="165" fontId="6" fillId="0" borderId="11" xfId="0" applyNumberFormat="1" applyFont="1" applyBorder="1" applyAlignment="1">
      <alignment horizontal="center"/>
    </xf>
    <xf numFmtId="0" fontId="30" fillId="0" borderId="0" xfId="0" applyFont="1" applyAlignment="1">
      <alignment vertical="center"/>
    </xf>
    <xf numFmtId="0" fontId="7" fillId="21" borderId="10" xfId="0" applyFont="1" applyFill="1" applyBorder="1" applyAlignment="1">
      <alignment horizontal="left" vertical="center" wrapText="1" indent="1"/>
    </xf>
    <xf numFmtId="0" fontId="4" fillId="0" borderId="10" xfId="0" applyFont="1" applyBorder="1" applyAlignment="1">
      <alignment horizontal="left" vertical="center" wrapText="1" indent="2"/>
    </xf>
    <xf numFmtId="0" fontId="7" fillId="21" borderId="10" xfId="0" applyFont="1" applyFill="1" applyBorder="1" applyAlignment="1">
      <alignment horizontal="left" vertical="center" wrapText="1" indent="2"/>
    </xf>
    <xf numFmtId="0" fontId="7" fillId="20" borderId="10" xfId="0" quotePrefix="1" applyFont="1" applyFill="1" applyBorder="1" applyAlignment="1">
      <alignment horizontal="left" vertical="center" wrapText="1" indent="2"/>
    </xf>
    <xf numFmtId="0" fontId="7" fillId="21" borderId="10" xfId="0" quotePrefix="1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3"/>
    </xf>
    <xf numFmtId="0" fontId="4" fillId="22" borderId="10" xfId="0" applyFont="1" applyFill="1" applyBorder="1" applyAlignment="1">
      <alignment horizontal="left" vertical="center" wrapText="1" indent="3"/>
    </xf>
    <xf numFmtId="0" fontId="4" fillId="0" borderId="10" xfId="0" applyFont="1" applyFill="1" applyBorder="1" applyAlignment="1">
      <alignment horizontal="left" vertical="center" wrapText="1" indent="4"/>
    </xf>
    <xf numFmtId="0" fontId="7" fillId="21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top" wrapText="1" indent="1"/>
    </xf>
    <xf numFmtId="0" fontId="6" fillId="0" borderId="10" xfId="0" applyFont="1" applyFill="1" applyBorder="1" applyAlignment="1">
      <alignment horizontal="left" vertical="top" wrapText="1" indent="1"/>
    </xf>
    <xf numFmtId="0" fontId="6" fillId="0" borderId="10" xfId="0" applyFont="1" applyFill="1" applyBorder="1" applyAlignment="1">
      <alignment horizontal="left" vertical="top" wrapText="1" indent="2"/>
    </xf>
    <xf numFmtId="0" fontId="7" fillId="0" borderId="10" xfId="0" applyFont="1" applyFill="1" applyBorder="1" applyAlignment="1">
      <alignment horizontal="right" vertical="center" wrapText="1"/>
    </xf>
    <xf numFmtId="0" fontId="7" fillId="0" borderId="10" xfId="0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right"/>
    </xf>
    <xf numFmtId="0" fontId="36" fillId="0" borderId="10" xfId="38" applyFont="1" applyFill="1" applyBorder="1" applyAlignment="1">
      <alignment horizontal="left" vertical="center" wrapText="1" indent="1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7" fillId="19" borderId="10" xfId="0" applyFont="1" applyFill="1" applyBorder="1" applyAlignment="1">
      <alignment horizontal="center" vertical="center"/>
    </xf>
    <xf numFmtId="0" fontId="11" fillId="19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6" fillId="19" borderId="13" xfId="0" applyFont="1" applyFill="1" applyBorder="1" applyAlignment="1">
      <alignment horizontal="center" vertical="center" wrapText="1"/>
    </xf>
    <xf numFmtId="0" fontId="6" fillId="19" borderId="17" xfId="0" applyFont="1" applyFill="1" applyBorder="1" applyAlignment="1">
      <alignment horizontal="center" vertical="center" wrapText="1"/>
    </xf>
    <xf numFmtId="0" fontId="6" fillId="19" borderId="18" xfId="0" applyFont="1" applyFill="1" applyBorder="1" applyAlignment="1">
      <alignment horizontal="center" vertical="center" wrapText="1"/>
    </xf>
    <xf numFmtId="0" fontId="6" fillId="19" borderId="11" xfId="0" applyFont="1" applyFill="1" applyBorder="1" applyAlignment="1">
      <alignment horizontal="center" vertical="center" wrapText="1"/>
    </xf>
    <xf numFmtId="0" fontId="4" fillId="19" borderId="13" xfId="0" applyFont="1" applyFill="1" applyBorder="1" applyAlignment="1">
      <alignment horizontal="center" vertical="center"/>
    </xf>
    <xf numFmtId="0" fontId="4" fillId="19" borderId="19" xfId="0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  <xf numFmtId="0" fontId="6" fillId="19" borderId="16" xfId="0" applyFont="1" applyFill="1" applyBorder="1" applyAlignment="1">
      <alignment horizontal="center" vertical="center" wrapText="1"/>
    </xf>
    <xf numFmtId="0" fontId="6" fillId="19" borderId="13" xfId="0" applyNumberFormat="1" applyFont="1" applyFill="1" applyBorder="1" applyAlignment="1">
      <alignment horizontal="center" vertical="center" wrapText="1"/>
    </xf>
    <xf numFmtId="0" fontId="6" fillId="19" borderId="16" xfId="0" applyNumberFormat="1" applyFont="1" applyFill="1" applyBorder="1" applyAlignment="1">
      <alignment horizontal="center" vertical="center" wrapText="1"/>
    </xf>
    <xf numFmtId="0" fontId="6" fillId="19" borderId="13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4" fillId="19" borderId="10" xfId="0" applyFont="1" applyFill="1" applyBorder="1" applyAlignment="1">
      <alignment horizontal="center" vertical="center"/>
    </xf>
    <xf numFmtId="165" fontId="6" fillId="0" borderId="13" xfId="0" applyNumberFormat="1" applyFont="1" applyBorder="1" applyAlignment="1">
      <alignment horizontal="center"/>
    </xf>
    <xf numFmtId="165" fontId="6" fillId="0" borderId="16" xfId="0" applyNumberFormat="1" applyFont="1" applyBorder="1" applyAlignment="1">
      <alignment horizontal="center"/>
    </xf>
    <xf numFmtId="0" fontId="6" fillId="19" borderId="16" xfId="0" applyFont="1" applyFill="1" applyBorder="1" applyAlignment="1">
      <alignment horizontal="center" vertical="center"/>
    </xf>
    <xf numFmtId="4" fontId="31" fillId="0" borderId="0" xfId="0" applyNumberFormat="1" applyFont="1" applyFill="1" applyBorder="1" applyAlignment="1">
      <alignment horizontal="center" vertical="center" wrapText="1"/>
    </xf>
  </cellXfs>
  <cellStyles count="4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Dziesiętny 2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rmalny" xfId="0" builtinId="0"/>
    <cellStyle name="Normalny 2" xfId="38"/>
    <cellStyle name="Note" xfId="39"/>
    <cellStyle name="Output" xfId="40"/>
    <cellStyle name="Title" xfId="41"/>
    <cellStyle name="Total" xfId="42"/>
    <cellStyle name="Warning Text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outlinePr summaryBelow="0"/>
  </sheetPr>
  <dimension ref="A1:Z128"/>
  <sheetViews>
    <sheetView tabSelected="1" topLeftCell="B1" zoomScaleNormal="100" workbookViewId="0">
      <selection activeCell="B2" sqref="B2:B3"/>
    </sheetView>
  </sheetViews>
  <sheetFormatPr defaultRowHeight="12.75" outlineLevelRow="1" outlineLevelCol="1" x14ac:dyDescent="0.2"/>
  <cols>
    <col min="1" max="1" width="5.7109375" style="15" hidden="1" customWidth="1"/>
    <col min="2" max="2" width="30.7109375" style="15" customWidth="1"/>
    <col min="3" max="4" width="14.5703125" style="15" customWidth="1"/>
    <col min="5" max="5" width="14.5703125" style="15" customWidth="1" outlineLevel="1"/>
    <col min="6" max="6" width="13.85546875" style="15" customWidth="1" outlineLevel="1"/>
    <col min="7" max="7" width="13" style="15" customWidth="1" outlineLevel="1"/>
    <col min="8" max="9" width="12.28515625" style="15" customWidth="1" outlineLevel="1"/>
    <col min="10" max="10" width="13" style="15" customWidth="1"/>
    <col min="11" max="11" width="7.42578125" style="15" customWidth="1"/>
    <col min="12" max="12" width="8.85546875" style="15" customWidth="1"/>
    <col min="13" max="13" width="8.140625" style="15" customWidth="1"/>
    <col min="14" max="16384" width="9.140625" style="15"/>
  </cols>
  <sheetData>
    <row r="1" spans="2:13" ht="27.75" customHeight="1" x14ac:dyDescent="0.2">
      <c r="B1" s="88" t="str">
        <f>CONCATENATE("Informacja z wykonania budżetów miast na prawach powiatu za ",$D$125," ",$C$126," rok    ",$C$128,"")</f>
        <v xml:space="preserve">Informacja z wykonania budżetów miast na prawach powiatu za II Kwartały 2022 rok    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2:13" ht="63" customHeight="1" x14ac:dyDescent="0.2">
      <c r="B2" s="107" t="s">
        <v>0</v>
      </c>
      <c r="C2" s="5" t="s">
        <v>31</v>
      </c>
      <c r="D2" s="5" t="s">
        <v>32</v>
      </c>
      <c r="E2" s="5" t="s">
        <v>33</v>
      </c>
      <c r="F2" s="5" t="s">
        <v>34</v>
      </c>
      <c r="G2" s="5" t="s">
        <v>35</v>
      </c>
      <c r="H2" s="5" t="s">
        <v>36</v>
      </c>
      <c r="I2" s="5" t="s">
        <v>37</v>
      </c>
      <c r="J2" s="6" t="s">
        <v>2</v>
      </c>
      <c r="K2" s="5" t="s">
        <v>18</v>
      </c>
      <c r="L2" s="5" t="s">
        <v>3</v>
      </c>
    </row>
    <row r="3" spans="2:13" x14ac:dyDescent="0.2">
      <c r="B3" s="107"/>
      <c r="C3" s="114" t="s">
        <v>82</v>
      </c>
      <c r="D3" s="115"/>
      <c r="E3" s="115"/>
      <c r="F3" s="115"/>
      <c r="G3" s="115"/>
      <c r="H3" s="115"/>
      <c r="I3" s="116"/>
      <c r="J3" s="122" t="s">
        <v>4</v>
      </c>
      <c r="K3" s="122"/>
      <c r="L3" s="122"/>
    </row>
    <row r="4" spans="2:13" x14ac:dyDescent="0.2">
      <c r="B4" s="6">
        <v>1</v>
      </c>
      <c r="C4" s="8">
        <v>2</v>
      </c>
      <c r="D4" s="8">
        <v>3</v>
      </c>
      <c r="E4" s="8">
        <v>4</v>
      </c>
      <c r="F4" s="8">
        <v>5</v>
      </c>
      <c r="G4" s="8">
        <v>6</v>
      </c>
      <c r="H4" s="8">
        <v>7</v>
      </c>
      <c r="I4" s="8">
        <v>8</v>
      </c>
      <c r="J4" s="8">
        <v>9</v>
      </c>
      <c r="K4" s="8">
        <v>10</v>
      </c>
      <c r="L4" s="8">
        <v>11</v>
      </c>
    </row>
    <row r="5" spans="2:13" ht="12.95" customHeight="1" x14ac:dyDescent="0.2">
      <c r="B5" s="66" t="s">
        <v>5</v>
      </c>
      <c r="C5" s="68">
        <f>103587513575.9</f>
        <v>103587513575.89999</v>
      </c>
      <c r="D5" s="68">
        <f>57302291953.96</f>
        <v>57302291953.959999</v>
      </c>
      <c r="E5" s="68">
        <f>278428803.38</f>
        <v>278428803.38</v>
      </c>
      <c r="F5" s="68">
        <f>75007744.21</f>
        <v>75007744.209999993</v>
      </c>
      <c r="G5" s="68">
        <f>13257685.46</f>
        <v>13257685.460000001</v>
      </c>
      <c r="H5" s="68">
        <f>73540436.02</f>
        <v>73540436.019999996</v>
      </c>
      <c r="I5" s="68">
        <f>91367.33</f>
        <v>91367.33</v>
      </c>
      <c r="J5" s="16">
        <f t="shared" ref="J5:J67" si="0">IF($D$5=0,"",100*$D5/$D$5)</f>
        <v>100</v>
      </c>
      <c r="K5" s="16">
        <f t="shared" ref="K5:K45" si="1">IF(C5=0,"",100*D5/C5)</f>
        <v>55.317759810861588</v>
      </c>
      <c r="L5" s="16"/>
    </row>
    <row r="6" spans="2:13" ht="25.5" customHeight="1" x14ac:dyDescent="0.2">
      <c r="B6" s="89" t="s">
        <v>60</v>
      </c>
      <c r="C6" s="68">
        <f>C5-C23-C54</f>
        <v>62566569223.73999</v>
      </c>
      <c r="D6" s="68">
        <f>D5-D23-D54</f>
        <v>33207313558.349998</v>
      </c>
      <c r="E6" s="68">
        <f>E5</f>
        <v>278428803.38</v>
      </c>
      <c r="F6" s="68">
        <f>F5</f>
        <v>75007744.209999993</v>
      </c>
      <c r="G6" s="68">
        <f>G5</f>
        <v>13257685.460000001</v>
      </c>
      <c r="H6" s="68">
        <f>H5</f>
        <v>73540436.019999996</v>
      </c>
      <c r="I6" s="68">
        <f>I5</f>
        <v>91367.33</v>
      </c>
      <c r="J6" s="16">
        <f t="shared" si="0"/>
        <v>57.951108805614076</v>
      </c>
      <c r="K6" s="16">
        <f t="shared" si="1"/>
        <v>53.075170926504882</v>
      </c>
      <c r="L6" s="16">
        <f t="shared" ref="L6:L22" si="2">IF($D$6=0,"",100*$D6/$D$6)</f>
        <v>100</v>
      </c>
    </row>
    <row r="7" spans="2:13" ht="33.75" outlineLevel="1" x14ac:dyDescent="0.2">
      <c r="B7" s="90" t="s">
        <v>61</v>
      </c>
      <c r="C7" s="69">
        <f>2929560892</f>
        <v>2929560892</v>
      </c>
      <c r="D7" s="69">
        <f>1461765938.76</f>
        <v>1461765938.76</v>
      </c>
      <c r="E7" s="69">
        <f>0</f>
        <v>0</v>
      </c>
      <c r="F7" s="69">
        <f>0</f>
        <v>0</v>
      </c>
      <c r="G7" s="69">
        <f>0</f>
        <v>0</v>
      </c>
      <c r="H7" s="69">
        <f>0</f>
        <v>0</v>
      </c>
      <c r="I7" s="69">
        <f>0</f>
        <v>0</v>
      </c>
      <c r="J7" s="18">
        <f t="shared" si="0"/>
        <v>2.5509728998876136</v>
      </c>
      <c r="K7" s="18">
        <f t="shared" si="1"/>
        <v>49.897100372679333</v>
      </c>
      <c r="L7" s="18">
        <f t="shared" si="2"/>
        <v>4.4019397600214427</v>
      </c>
    </row>
    <row r="8" spans="2:13" ht="33.75" outlineLevel="1" x14ac:dyDescent="0.2">
      <c r="B8" s="10" t="s">
        <v>62</v>
      </c>
      <c r="C8" s="70">
        <f>613979714</f>
        <v>613979714</v>
      </c>
      <c r="D8" s="70">
        <f>306360739.77</f>
        <v>306360739.76999998</v>
      </c>
      <c r="E8" s="70">
        <f>0</f>
        <v>0</v>
      </c>
      <c r="F8" s="70">
        <f>0</f>
        <v>0</v>
      </c>
      <c r="G8" s="70">
        <f>0</f>
        <v>0</v>
      </c>
      <c r="H8" s="70">
        <f>0</f>
        <v>0</v>
      </c>
      <c r="I8" s="70">
        <f>0</f>
        <v>0</v>
      </c>
      <c r="J8" s="18">
        <f t="shared" si="0"/>
        <v>0.53463959175690223</v>
      </c>
      <c r="K8" s="18">
        <f t="shared" si="1"/>
        <v>49.897534525057615</v>
      </c>
      <c r="L8" s="18">
        <f t="shared" si="2"/>
        <v>0.92257008153243225</v>
      </c>
    </row>
    <row r="9" spans="2:13" ht="33.75" outlineLevel="1" x14ac:dyDescent="0.2">
      <c r="B9" s="10" t="s">
        <v>63</v>
      </c>
      <c r="C9" s="70">
        <f>18712408711</f>
        <v>18712408711</v>
      </c>
      <c r="D9" s="70">
        <f>9356204364</f>
        <v>9356204364</v>
      </c>
      <c r="E9" s="70">
        <f>0</f>
        <v>0</v>
      </c>
      <c r="F9" s="70">
        <f>0</f>
        <v>0</v>
      </c>
      <c r="G9" s="70">
        <f>0</f>
        <v>0</v>
      </c>
      <c r="H9" s="70">
        <f>0</f>
        <v>0</v>
      </c>
      <c r="I9" s="70">
        <f>0</f>
        <v>0</v>
      </c>
      <c r="J9" s="18">
        <f t="shared" si="0"/>
        <v>16.327801288502247</v>
      </c>
      <c r="K9" s="18">
        <f t="shared" si="1"/>
        <v>50.0000000454244</v>
      </c>
      <c r="L9" s="18">
        <f t="shared" si="2"/>
        <v>28.175131805106158</v>
      </c>
    </row>
    <row r="10" spans="2:13" ht="33.75" outlineLevel="1" x14ac:dyDescent="0.2">
      <c r="B10" s="10" t="s">
        <v>64</v>
      </c>
      <c r="C10" s="70">
        <f>5002665340</f>
        <v>5002665340</v>
      </c>
      <c r="D10" s="70">
        <f>2501332698</f>
        <v>2501332698</v>
      </c>
      <c r="E10" s="70">
        <f>0</f>
        <v>0</v>
      </c>
      <c r="F10" s="70">
        <f>0</f>
        <v>0</v>
      </c>
      <c r="G10" s="70">
        <f>0</f>
        <v>0</v>
      </c>
      <c r="H10" s="70">
        <f>0</f>
        <v>0</v>
      </c>
      <c r="I10" s="70">
        <f>0</f>
        <v>0</v>
      </c>
      <c r="J10" s="18">
        <f t="shared" si="0"/>
        <v>4.365152968069264</v>
      </c>
      <c r="K10" s="18">
        <f t="shared" si="1"/>
        <v>50.00000055970164</v>
      </c>
      <c r="L10" s="18">
        <f t="shared" si="2"/>
        <v>7.5324753193443392</v>
      </c>
    </row>
    <row r="11" spans="2:13" ht="12.95" customHeight="1" outlineLevel="1" x14ac:dyDescent="0.2">
      <c r="B11" s="10" t="s">
        <v>19</v>
      </c>
      <c r="C11" s="70">
        <f>23290935</f>
        <v>23290935</v>
      </c>
      <c r="D11" s="70">
        <f>16632609.22</f>
        <v>16632609.220000001</v>
      </c>
      <c r="E11" s="70">
        <f>442300.13</f>
        <v>442300.13</v>
      </c>
      <c r="F11" s="70">
        <f>4165.01</f>
        <v>4165.01</v>
      </c>
      <c r="G11" s="70">
        <f>9002.24</f>
        <v>9002.24</v>
      </c>
      <c r="H11" s="70">
        <f>57711.2</f>
        <v>57711.199999999997</v>
      </c>
      <c r="I11" s="70">
        <f>0</f>
        <v>0</v>
      </c>
      <c r="J11" s="18">
        <f t="shared" si="0"/>
        <v>2.9026080201754595E-2</v>
      </c>
      <c r="K11" s="18">
        <f t="shared" si="1"/>
        <v>71.412372324254051</v>
      </c>
      <c r="L11" s="18">
        <f t="shared" si="2"/>
        <v>5.0087186940834964E-2</v>
      </c>
    </row>
    <row r="12" spans="2:13" ht="12.95" customHeight="1" outlineLevel="1" x14ac:dyDescent="0.2">
      <c r="B12" s="10" t="s">
        <v>20</v>
      </c>
      <c r="C12" s="70">
        <f>10422385162.57</f>
        <v>10422385162.57</v>
      </c>
      <c r="D12" s="71">
        <f>5588485660.34</f>
        <v>5588485660.3400002</v>
      </c>
      <c r="E12" s="70">
        <f>111765638.83</f>
        <v>111765638.83</v>
      </c>
      <c r="F12" s="70">
        <f>68539709.29</f>
        <v>68539709.290000007</v>
      </c>
      <c r="G12" s="70">
        <f>11137726.33</f>
        <v>11137726.33</v>
      </c>
      <c r="H12" s="70">
        <f>61902192.49</f>
        <v>61902192.490000002</v>
      </c>
      <c r="I12" s="70">
        <f>85821.57</f>
        <v>85821.57</v>
      </c>
      <c r="J12" s="18">
        <f t="shared" si="0"/>
        <v>9.7526389779140334</v>
      </c>
      <c r="K12" s="18">
        <f t="shared" si="1"/>
        <v>53.620026252819521</v>
      </c>
      <c r="L12" s="18">
        <f t="shared" si="2"/>
        <v>16.829080890630408</v>
      </c>
    </row>
    <row r="13" spans="2:13" ht="12.95" customHeight="1" outlineLevel="1" x14ac:dyDescent="0.2">
      <c r="B13" s="10" t="s">
        <v>21</v>
      </c>
      <c r="C13" s="70">
        <f>4608950</f>
        <v>4608950</v>
      </c>
      <c r="D13" s="71">
        <f>2790090.85</f>
        <v>2790090.85</v>
      </c>
      <c r="E13" s="70">
        <f>0</f>
        <v>0</v>
      </c>
      <c r="F13" s="70">
        <f>14118.16</f>
        <v>14118.16</v>
      </c>
      <c r="G13" s="70">
        <f>1486.33</f>
        <v>1486.33</v>
      </c>
      <c r="H13" s="70">
        <f>1026.16</f>
        <v>1026.1600000000001</v>
      </c>
      <c r="I13" s="70">
        <f>0</f>
        <v>0</v>
      </c>
      <c r="J13" s="18">
        <f t="shared" si="0"/>
        <v>4.8690737400900498E-3</v>
      </c>
      <c r="K13" s="18">
        <f t="shared" si="1"/>
        <v>60.536366200544592</v>
      </c>
      <c r="L13" s="18">
        <f t="shared" si="2"/>
        <v>8.4020372352536475E-3</v>
      </c>
    </row>
    <row r="14" spans="2:13" ht="12.95" customHeight="1" outlineLevel="1" x14ac:dyDescent="0.2">
      <c r="B14" s="10" t="s">
        <v>22</v>
      </c>
      <c r="C14" s="70">
        <f>366992366</f>
        <v>366992366</v>
      </c>
      <c r="D14" s="71">
        <f>193135071.28</f>
        <v>193135071.28</v>
      </c>
      <c r="E14" s="70">
        <f>164304793.17</f>
        <v>164304793.16999999</v>
      </c>
      <c r="F14" s="70">
        <f>310086.25</f>
        <v>310086.25</v>
      </c>
      <c r="G14" s="70">
        <f>62942.82</f>
        <v>62942.82</v>
      </c>
      <c r="H14" s="70">
        <f>963633.27</f>
        <v>963633.27</v>
      </c>
      <c r="I14" s="70">
        <f>0</f>
        <v>0</v>
      </c>
      <c r="J14" s="18">
        <f t="shared" si="0"/>
        <v>0.33704597965326755</v>
      </c>
      <c r="K14" s="18">
        <f t="shared" si="1"/>
        <v>52.626454709414851</v>
      </c>
      <c r="L14" s="18">
        <f t="shared" si="2"/>
        <v>0.58160402207975681</v>
      </c>
    </row>
    <row r="15" spans="2:13" ht="33.75" outlineLevel="1" x14ac:dyDescent="0.2">
      <c r="B15" s="10" t="s">
        <v>39</v>
      </c>
      <c r="C15" s="70">
        <f>59630692</f>
        <v>59630692</v>
      </c>
      <c r="D15" s="71">
        <f>47101678.46</f>
        <v>47101678.460000001</v>
      </c>
      <c r="E15" s="70">
        <f>0</f>
        <v>0</v>
      </c>
      <c r="F15" s="70">
        <f>0</f>
        <v>0</v>
      </c>
      <c r="G15" s="70">
        <f>19522.72</f>
        <v>19522.72</v>
      </c>
      <c r="H15" s="70">
        <f>163096.69</f>
        <v>163096.69</v>
      </c>
      <c r="I15" s="70">
        <f>0</f>
        <v>0</v>
      </c>
      <c r="J15" s="18">
        <f t="shared" si="0"/>
        <v>8.2198594251420579E-2</v>
      </c>
      <c r="K15" s="18">
        <f t="shared" si="1"/>
        <v>78.988985168912677</v>
      </c>
      <c r="L15" s="18">
        <f t="shared" si="2"/>
        <v>0.14184127956402018</v>
      </c>
    </row>
    <row r="16" spans="2:13" ht="12.95" customHeight="1" outlineLevel="1" x14ac:dyDescent="0.2">
      <c r="B16" s="10" t="s">
        <v>27</v>
      </c>
      <c r="C16" s="70">
        <f>192677685.62</f>
        <v>192677685.62</v>
      </c>
      <c r="D16" s="71">
        <f>137482249.92</f>
        <v>137482249.91999999</v>
      </c>
      <c r="E16" s="70">
        <f>0</f>
        <v>0</v>
      </c>
      <c r="F16" s="70">
        <f>0</f>
        <v>0</v>
      </c>
      <c r="G16" s="70">
        <f>877819.2</f>
        <v>877819.2</v>
      </c>
      <c r="H16" s="70">
        <f>4952776.69</f>
        <v>4952776.6900000004</v>
      </c>
      <c r="I16" s="70">
        <f>0</f>
        <v>0</v>
      </c>
      <c r="J16" s="18">
        <f t="shared" si="0"/>
        <v>0.23992452174593859</v>
      </c>
      <c r="K16" s="18">
        <f t="shared" si="1"/>
        <v>71.353488328245348</v>
      </c>
      <c r="L16" s="18">
        <f t="shared" si="2"/>
        <v>0.41401196058339379</v>
      </c>
    </row>
    <row r="17" spans="2:12" ht="22.5" customHeight="1" outlineLevel="1" x14ac:dyDescent="0.2">
      <c r="B17" s="10" t="s">
        <v>28</v>
      </c>
      <c r="C17" s="70">
        <f>1860754923.44</f>
        <v>1860754923.4400001</v>
      </c>
      <c r="D17" s="71">
        <f>1265042744.15</f>
        <v>1265042744.1500001</v>
      </c>
      <c r="E17" s="70">
        <f>0</f>
        <v>0</v>
      </c>
      <c r="F17" s="70">
        <f>0</f>
        <v>0</v>
      </c>
      <c r="G17" s="70">
        <f>50442</f>
        <v>50442</v>
      </c>
      <c r="H17" s="70">
        <f>125139.45</f>
        <v>125139.45</v>
      </c>
      <c r="I17" s="70">
        <f>0</f>
        <v>0</v>
      </c>
      <c r="J17" s="18">
        <f t="shared" si="0"/>
        <v>2.2076651753587959</v>
      </c>
      <c r="K17" s="18">
        <f t="shared" si="1"/>
        <v>67.985457311664689</v>
      </c>
      <c r="L17" s="18">
        <f t="shared" si="2"/>
        <v>3.809530517809395</v>
      </c>
    </row>
    <row r="18" spans="2:12" ht="12.95" customHeight="1" outlineLevel="1" x14ac:dyDescent="0.2">
      <c r="B18" s="10" t="s">
        <v>53</v>
      </c>
      <c r="C18" s="70">
        <f>352943500</f>
        <v>352943500</v>
      </c>
      <c r="D18" s="71">
        <f>207633345.39</f>
        <v>207633345.38999999</v>
      </c>
      <c r="E18" s="70">
        <f>0</f>
        <v>0</v>
      </c>
      <c r="F18" s="70">
        <f>0</f>
        <v>0</v>
      </c>
      <c r="G18" s="70">
        <f>3894</f>
        <v>3894</v>
      </c>
      <c r="H18" s="70">
        <f>0</f>
        <v>0</v>
      </c>
      <c r="I18" s="70">
        <f>0</f>
        <v>0</v>
      </c>
      <c r="J18" s="18">
        <f t="shared" si="0"/>
        <v>0.36234736571588572</v>
      </c>
      <c r="K18" s="18">
        <f t="shared" si="1"/>
        <v>58.829060569184584</v>
      </c>
      <c r="L18" s="18">
        <f t="shared" si="2"/>
        <v>0.62526390466714066</v>
      </c>
    </row>
    <row r="19" spans="2:12" ht="12.95" customHeight="1" outlineLevel="1" x14ac:dyDescent="0.2">
      <c r="B19" s="10" t="s">
        <v>54</v>
      </c>
      <c r="C19" s="70">
        <f>9408270</f>
        <v>9408270</v>
      </c>
      <c r="D19" s="71">
        <f>4569742.87</f>
        <v>4569742.87</v>
      </c>
      <c r="E19" s="70">
        <f>0</f>
        <v>0</v>
      </c>
      <c r="F19" s="70">
        <f>0</f>
        <v>0</v>
      </c>
      <c r="G19" s="70">
        <f>0</f>
        <v>0</v>
      </c>
      <c r="H19" s="70">
        <f>0</f>
        <v>0</v>
      </c>
      <c r="I19" s="70">
        <f>0</f>
        <v>0</v>
      </c>
      <c r="J19" s="18">
        <f t="shared" si="0"/>
        <v>7.9747994612006049E-3</v>
      </c>
      <c r="K19" s="18">
        <f t="shared" si="1"/>
        <v>48.571553218604485</v>
      </c>
      <c r="L19" s="18">
        <f t="shared" si="2"/>
        <v>1.3761254315168579E-2</v>
      </c>
    </row>
    <row r="20" spans="2:12" ht="12.95" customHeight="1" outlineLevel="1" x14ac:dyDescent="0.2">
      <c r="B20" s="10" t="s">
        <v>55</v>
      </c>
      <c r="C20" s="70">
        <f>16466500</f>
        <v>16466500</v>
      </c>
      <c r="D20" s="71">
        <f>6247534.16</f>
        <v>6247534.1600000001</v>
      </c>
      <c r="E20" s="70">
        <f>0</f>
        <v>0</v>
      </c>
      <c r="F20" s="70">
        <f>0</f>
        <v>0</v>
      </c>
      <c r="G20" s="70">
        <f>300</f>
        <v>300</v>
      </c>
      <c r="H20" s="70">
        <f>848</f>
        <v>848</v>
      </c>
      <c r="I20" s="70">
        <f>0</f>
        <v>0</v>
      </c>
      <c r="J20" s="18">
        <f t="shared" si="0"/>
        <v>1.0902764875477639E-2</v>
      </c>
      <c r="K20" s="18">
        <f t="shared" si="1"/>
        <v>37.940874867154527</v>
      </c>
      <c r="L20" s="18">
        <f t="shared" si="2"/>
        <v>1.8813729538892657E-2</v>
      </c>
    </row>
    <row r="21" spans="2:12" ht="12.95" customHeight="1" outlineLevel="1" x14ac:dyDescent="0.2">
      <c r="B21" s="10" t="s">
        <v>23</v>
      </c>
      <c r="C21" s="70">
        <f>5259557384.63</f>
        <v>5259557384.6300001</v>
      </c>
      <c r="D21" s="71">
        <f>2334799119.58</f>
        <v>2334799119.5799999</v>
      </c>
      <c r="E21" s="70">
        <f>0</f>
        <v>0</v>
      </c>
      <c r="F21" s="70">
        <f>0</f>
        <v>0</v>
      </c>
      <c r="G21" s="70">
        <f>0</f>
        <v>0</v>
      </c>
      <c r="H21" s="70">
        <f>0</f>
        <v>0</v>
      </c>
      <c r="I21" s="70">
        <f>0</f>
        <v>0</v>
      </c>
      <c r="J21" s="18">
        <f t="shared" si="0"/>
        <v>4.0745300754390659</v>
      </c>
      <c r="K21" s="18">
        <f t="shared" si="1"/>
        <v>44.391551395617078</v>
      </c>
      <c r="L21" s="18">
        <f t="shared" si="2"/>
        <v>7.0309786290824885</v>
      </c>
    </row>
    <row r="22" spans="2:12" ht="12.95" customHeight="1" outlineLevel="1" x14ac:dyDescent="0.2">
      <c r="B22" s="10" t="s">
        <v>24</v>
      </c>
      <c r="C22" s="70">
        <f>C6-SUM(C7:C21)</f>
        <v>16739238197.479988</v>
      </c>
      <c r="D22" s="70">
        <f t="shared" ref="D22:I22" si="3">D6-SUM(D7:D21)</f>
        <v>9777729971.6000061</v>
      </c>
      <c r="E22" s="70">
        <f t="shared" si="3"/>
        <v>1916071.25</v>
      </c>
      <c r="F22" s="70">
        <f t="shared" si="3"/>
        <v>6139665.4999999851</v>
      </c>
      <c r="G22" s="70">
        <f t="shared" si="3"/>
        <v>1094549.8200000003</v>
      </c>
      <c r="H22" s="70">
        <f t="shared" si="3"/>
        <v>5374012.0699999928</v>
      </c>
      <c r="I22" s="70">
        <f t="shared" si="3"/>
        <v>5545.7599999999948</v>
      </c>
      <c r="J22" s="18">
        <f t="shared" si="0"/>
        <v>17.063418649041132</v>
      </c>
      <c r="K22" s="18">
        <f t="shared" si="1"/>
        <v>58.412036774003234</v>
      </c>
      <c r="L22" s="18">
        <f t="shared" si="2"/>
        <v>29.444507621548897</v>
      </c>
    </row>
    <row r="23" spans="2:12" ht="26.25" customHeight="1" x14ac:dyDescent="0.2">
      <c r="B23" s="89" t="s">
        <v>112</v>
      </c>
      <c r="C23" s="68">
        <f>C24+C50+C52</f>
        <v>20399265352.16</v>
      </c>
      <c r="D23" s="68">
        <f>D24+D50+D52</f>
        <v>11693287003.610001</v>
      </c>
      <c r="E23" s="20" t="s">
        <v>59</v>
      </c>
      <c r="F23" s="20" t="s">
        <v>59</v>
      </c>
      <c r="G23" s="20" t="s">
        <v>59</v>
      </c>
      <c r="H23" s="20" t="s">
        <v>59</v>
      </c>
      <c r="I23" s="20" t="s">
        <v>59</v>
      </c>
      <c r="J23" s="16">
        <f t="shared" si="0"/>
        <v>20.406316405293296</v>
      </c>
      <c r="K23" s="16">
        <f t="shared" si="1"/>
        <v>57.322098623379311</v>
      </c>
      <c r="L23" s="21"/>
    </row>
    <row r="24" spans="2:12" ht="25.5" customHeight="1" outlineLevel="1" x14ac:dyDescent="0.2">
      <c r="B24" s="91" t="s">
        <v>65</v>
      </c>
      <c r="C24" s="68">
        <f>C25+C32+C39</f>
        <v>13999459337.9</v>
      </c>
      <c r="D24" s="68">
        <f>D25+D32+D39</f>
        <v>9805456619.8500004</v>
      </c>
      <c r="E24" s="20" t="s">
        <v>59</v>
      </c>
      <c r="F24" s="20" t="s">
        <v>59</v>
      </c>
      <c r="G24" s="20" t="s">
        <v>59</v>
      </c>
      <c r="H24" s="20" t="s">
        <v>59</v>
      </c>
      <c r="I24" s="20" t="s">
        <v>59</v>
      </c>
      <c r="J24" s="16">
        <f t="shared" si="0"/>
        <v>17.111805279496107</v>
      </c>
      <c r="K24" s="16">
        <f t="shared" si="1"/>
        <v>70.041680776229711</v>
      </c>
      <c r="L24" s="22"/>
    </row>
    <row r="25" spans="2:12" ht="13.5" customHeight="1" outlineLevel="1" x14ac:dyDescent="0.2">
      <c r="B25" s="92" t="s">
        <v>56</v>
      </c>
      <c r="C25" s="68">
        <f>C26+C28+C30</f>
        <v>10654494089.940001</v>
      </c>
      <c r="D25" s="68">
        <f>D26+D28+D30</f>
        <v>8101126052.5800009</v>
      </c>
      <c r="E25" s="20" t="s">
        <v>59</v>
      </c>
      <c r="F25" s="20" t="s">
        <v>59</v>
      </c>
      <c r="G25" s="20" t="s">
        <v>59</v>
      </c>
      <c r="H25" s="20" t="s">
        <v>59</v>
      </c>
      <c r="I25" s="20" t="s">
        <v>59</v>
      </c>
      <c r="J25" s="16">
        <f t="shared" si="0"/>
        <v>14.13752535254422</v>
      </c>
      <c r="K25" s="16">
        <f t="shared" si="1"/>
        <v>76.034826094925563</v>
      </c>
      <c r="L25" s="22"/>
    </row>
    <row r="26" spans="2:12" ht="22.5" customHeight="1" outlineLevel="1" x14ac:dyDescent="0.2">
      <c r="B26" s="94" t="s">
        <v>9</v>
      </c>
      <c r="C26" s="69">
        <f>8995724980.51</f>
        <v>8995724980.5100002</v>
      </c>
      <c r="D26" s="72">
        <f>7355401020.38</f>
        <v>7355401020.3800001</v>
      </c>
      <c r="E26" s="17" t="s">
        <v>59</v>
      </c>
      <c r="F26" s="17" t="s">
        <v>59</v>
      </c>
      <c r="G26" s="17" t="s">
        <v>59</v>
      </c>
      <c r="H26" s="17" t="s">
        <v>59</v>
      </c>
      <c r="I26" s="17" t="s">
        <v>59</v>
      </c>
      <c r="J26" s="18">
        <f t="shared" si="0"/>
        <v>12.836137560238878</v>
      </c>
      <c r="K26" s="18">
        <f t="shared" si="1"/>
        <v>81.765516801770829</v>
      </c>
      <c r="L26" s="22"/>
    </row>
    <row r="27" spans="2:12" ht="12.95" customHeight="1" outlineLevel="1" x14ac:dyDescent="0.2">
      <c r="B27" s="96" t="s">
        <v>6</v>
      </c>
      <c r="C27" s="70">
        <f>2132199.37</f>
        <v>2132199.37</v>
      </c>
      <c r="D27" s="70">
        <f>482545</f>
        <v>482545</v>
      </c>
      <c r="E27" s="19" t="s">
        <v>59</v>
      </c>
      <c r="F27" s="19" t="s">
        <v>59</v>
      </c>
      <c r="G27" s="19" t="s">
        <v>59</v>
      </c>
      <c r="H27" s="19" t="s">
        <v>59</v>
      </c>
      <c r="I27" s="19" t="s">
        <v>59</v>
      </c>
      <c r="J27" s="18">
        <f t="shared" si="0"/>
        <v>8.4210418736427642E-4</v>
      </c>
      <c r="K27" s="18">
        <f t="shared" si="1"/>
        <v>22.631326450490413</v>
      </c>
      <c r="L27" s="22"/>
    </row>
    <row r="28" spans="2:12" ht="13.5" customHeight="1" outlineLevel="1" x14ac:dyDescent="0.2">
      <c r="B28" s="94" t="s">
        <v>7</v>
      </c>
      <c r="C28" s="70">
        <f>1627591121.19</f>
        <v>1627591121.1900001</v>
      </c>
      <c r="D28" s="71">
        <f>727761990.06</f>
        <v>727761990.05999994</v>
      </c>
      <c r="E28" s="19" t="s">
        <v>59</v>
      </c>
      <c r="F28" s="19" t="s">
        <v>59</v>
      </c>
      <c r="G28" s="19" t="s">
        <v>59</v>
      </c>
      <c r="H28" s="19" t="s">
        <v>59</v>
      </c>
      <c r="I28" s="19" t="s">
        <v>59</v>
      </c>
      <c r="J28" s="18">
        <f t="shared" si="0"/>
        <v>1.2700399325121696</v>
      </c>
      <c r="K28" s="18">
        <f t="shared" si="1"/>
        <v>44.714055058736292</v>
      </c>
      <c r="L28" s="22"/>
    </row>
    <row r="29" spans="2:12" ht="12.95" customHeight="1" outlineLevel="1" x14ac:dyDescent="0.2">
      <c r="B29" s="96" t="s">
        <v>6</v>
      </c>
      <c r="C29" s="70">
        <f>269736553.76</f>
        <v>269736553.75999999</v>
      </c>
      <c r="D29" s="70">
        <f>19692837.09</f>
        <v>19692837.09</v>
      </c>
      <c r="E29" s="19" t="s">
        <v>59</v>
      </c>
      <c r="F29" s="19" t="s">
        <v>59</v>
      </c>
      <c r="G29" s="19" t="s">
        <v>59</v>
      </c>
      <c r="H29" s="19" t="s">
        <v>59</v>
      </c>
      <c r="I29" s="19" t="s">
        <v>59</v>
      </c>
      <c r="J29" s="18">
        <f t="shared" si="0"/>
        <v>3.4366578401126384E-2</v>
      </c>
      <c r="K29" s="18">
        <f t="shared" si="1"/>
        <v>7.3007669207199264</v>
      </c>
      <c r="L29" s="22"/>
    </row>
    <row r="30" spans="2:12" ht="33.75" outlineLevel="1" x14ac:dyDescent="0.2">
      <c r="B30" s="94" t="s">
        <v>10</v>
      </c>
      <c r="C30" s="70">
        <f>31177988.24</f>
        <v>31177988.239999998</v>
      </c>
      <c r="D30" s="71">
        <f>17963042.14</f>
        <v>17963042.140000001</v>
      </c>
      <c r="E30" s="19" t="s">
        <v>59</v>
      </c>
      <c r="F30" s="19" t="s">
        <v>59</v>
      </c>
      <c r="G30" s="19" t="s">
        <v>59</v>
      </c>
      <c r="H30" s="19" t="s">
        <v>59</v>
      </c>
      <c r="I30" s="19" t="s">
        <v>59</v>
      </c>
      <c r="J30" s="18">
        <f t="shared" si="0"/>
        <v>3.1347859793169452E-2</v>
      </c>
      <c r="K30" s="18">
        <f t="shared" si="1"/>
        <v>57.614500338268137</v>
      </c>
      <c r="L30" s="22"/>
    </row>
    <row r="31" spans="2:12" ht="12.95" customHeight="1" outlineLevel="1" x14ac:dyDescent="0.2">
      <c r="B31" s="96" t="s">
        <v>6</v>
      </c>
      <c r="C31" s="70">
        <f>3161121.11</f>
        <v>3161121.11</v>
      </c>
      <c r="D31" s="70">
        <f>1703498.96</f>
        <v>1703498.96</v>
      </c>
      <c r="E31" s="19" t="s">
        <v>59</v>
      </c>
      <c r="F31" s="19" t="s">
        <v>59</v>
      </c>
      <c r="G31" s="19" t="s">
        <v>59</v>
      </c>
      <c r="H31" s="19" t="s">
        <v>59</v>
      </c>
      <c r="I31" s="19" t="s">
        <v>59</v>
      </c>
      <c r="J31" s="18">
        <f t="shared" si="0"/>
        <v>2.9728286634131324E-3</v>
      </c>
      <c r="K31" s="18">
        <f t="shared" si="1"/>
        <v>53.889076081618398</v>
      </c>
      <c r="L31" s="22"/>
    </row>
    <row r="32" spans="2:12" ht="13.5" customHeight="1" outlineLevel="1" x14ac:dyDescent="0.2">
      <c r="B32" s="93" t="s">
        <v>57</v>
      </c>
      <c r="C32" s="68">
        <f>C33+C35+C37</f>
        <v>2149139225.4000001</v>
      </c>
      <c r="D32" s="68">
        <f>D33+D35+D37</f>
        <v>1298294108.55</v>
      </c>
      <c r="E32" s="20" t="s">
        <v>59</v>
      </c>
      <c r="F32" s="20" t="s">
        <v>59</v>
      </c>
      <c r="G32" s="20" t="s">
        <v>59</v>
      </c>
      <c r="H32" s="20" t="s">
        <v>59</v>
      </c>
      <c r="I32" s="20" t="s">
        <v>59</v>
      </c>
      <c r="J32" s="16">
        <f t="shared" si="0"/>
        <v>2.2656931586490905</v>
      </c>
      <c r="K32" s="16">
        <f t="shared" si="1"/>
        <v>60.409958238436609</v>
      </c>
      <c r="L32" s="22"/>
    </row>
    <row r="33" spans="2:12" ht="22.5" outlineLevel="1" x14ac:dyDescent="0.2">
      <c r="B33" s="94" t="s">
        <v>9</v>
      </c>
      <c r="C33" s="70">
        <f>1850417370.9</f>
        <v>1850417370.9000001</v>
      </c>
      <c r="D33" s="70">
        <f>1156818573.2</f>
        <v>1156818573.2</v>
      </c>
      <c r="E33" s="19" t="s">
        <v>59</v>
      </c>
      <c r="F33" s="19" t="s">
        <v>59</v>
      </c>
      <c r="G33" s="19" t="s">
        <v>59</v>
      </c>
      <c r="H33" s="19" t="s">
        <v>59</v>
      </c>
      <c r="I33" s="19" t="s">
        <v>59</v>
      </c>
      <c r="J33" s="18">
        <f t="shared" si="0"/>
        <v>2.018799831129714</v>
      </c>
      <c r="K33" s="18">
        <f t="shared" si="1"/>
        <v>62.516629566515057</v>
      </c>
      <c r="L33" s="22"/>
    </row>
    <row r="34" spans="2:12" ht="12.95" customHeight="1" outlineLevel="1" x14ac:dyDescent="0.2">
      <c r="B34" s="96" t="s">
        <v>6</v>
      </c>
      <c r="C34" s="70">
        <f>4279495.76</f>
        <v>4279495.76</v>
      </c>
      <c r="D34" s="71">
        <f>1649385.58</f>
        <v>1649385.58</v>
      </c>
      <c r="E34" s="19" t="s">
        <v>59</v>
      </c>
      <c r="F34" s="19" t="s">
        <v>59</v>
      </c>
      <c r="G34" s="19" t="s">
        <v>59</v>
      </c>
      <c r="H34" s="19" t="s">
        <v>59</v>
      </c>
      <c r="I34" s="19" t="s">
        <v>59</v>
      </c>
      <c r="J34" s="18">
        <f t="shared" si="0"/>
        <v>2.8783937321830207E-3</v>
      </c>
      <c r="K34" s="18">
        <f t="shared" si="1"/>
        <v>38.541586964909158</v>
      </c>
      <c r="L34" s="22"/>
    </row>
    <row r="35" spans="2:12" ht="12.95" customHeight="1" outlineLevel="1" x14ac:dyDescent="0.2">
      <c r="B35" s="94" t="s">
        <v>7</v>
      </c>
      <c r="C35" s="70">
        <f>226474357.45</f>
        <v>226474357.44999999</v>
      </c>
      <c r="D35" s="70">
        <f>81759548.11</f>
        <v>81759548.109999999</v>
      </c>
      <c r="E35" s="19" t="s">
        <v>59</v>
      </c>
      <c r="F35" s="19" t="s">
        <v>59</v>
      </c>
      <c r="G35" s="19" t="s">
        <v>59</v>
      </c>
      <c r="H35" s="19" t="s">
        <v>59</v>
      </c>
      <c r="I35" s="19" t="s">
        <v>59</v>
      </c>
      <c r="J35" s="18">
        <f t="shared" si="0"/>
        <v>0.14268111330641081</v>
      </c>
      <c r="K35" s="18">
        <f t="shared" si="1"/>
        <v>36.101017806420096</v>
      </c>
      <c r="L35" s="22"/>
    </row>
    <row r="36" spans="2:12" ht="12.95" customHeight="1" outlineLevel="1" x14ac:dyDescent="0.2">
      <c r="B36" s="96" t="s">
        <v>6</v>
      </c>
      <c r="C36" s="70">
        <f>72371133</f>
        <v>72371133</v>
      </c>
      <c r="D36" s="71">
        <f>3397771.99</f>
        <v>3397771.99</v>
      </c>
      <c r="E36" s="19" t="s">
        <v>59</v>
      </c>
      <c r="F36" s="19" t="s">
        <v>59</v>
      </c>
      <c r="G36" s="19" t="s">
        <v>59</v>
      </c>
      <c r="H36" s="19" t="s">
        <v>59</v>
      </c>
      <c r="I36" s="19" t="s">
        <v>59</v>
      </c>
      <c r="J36" s="18">
        <f t="shared" si="0"/>
        <v>5.9295568713551077E-3</v>
      </c>
      <c r="K36" s="18">
        <f t="shared" si="1"/>
        <v>4.6949271748999699</v>
      </c>
      <c r="L36" s="22"/>
    </row>
    <row r="37" spans="2:12" ht="33.75" outlineLevel="1" x14ac:dyDescent="0.2">
      <c r="B37" s="94" t="s">
        <v>10</v>
      </c>
      <c r="C37" s="70">
        <f>72247497.05</f>
        <v>72247497.049999997</v>
      </c>
      <c r="D37" s="70">
        <f>59715987.24</f>
        <v>59715987.240000002</v>
      </c>
      <c r="E37" s="19" t="s">
        <v>59</v>
      </c>
      <c r="F37" s="19" t="s">
        <v>59</v>
      </c>
      <c r="G37" s="19" t="s">
        <v>59</v>
      </c>
      <c r="H37" s="19" t="s">
        <v>59</v>
      </c>
      <c r="I37" s="19" t="s">
        <v>59</v>
      </c>
      <c r="J37" s="18">
        <f t="shared" si="0"/>
        <v>0.10421221421296605</v>
      </c>
      <c r="K37" s="18">
        <f t="shared" si="1"/>
        <v>82.654748854029677</v>
      </c>
      <c r="L37" s="22"/>
    </row>
    <row r="38" spans="2:12" ht="12.95" customHeight="1" outlineLevel="1" x14ac:dyDescent="0.2">
      <c r="B38" s="96" t="s">
        <v>6</v>
      </c>
      <c r="C38" s="70">
        <f>0</f>
        <v>0</v>
      </c>
      <c r="D38" s="71">
        <f>0</f>
        <v>0</v>
      </c>
      <c r="E38" s="19" t="s">
        <v>59</v>
      </c>
      <c r="F38" s="19" t="s">
        <v>59</v>
      </c>
      <c r="G38" s="19" t="s">
        <v>59</v>
      </c>
      <c r="H38" s="19" t="s">
        <v>59</v>
      </c>
      <c r="I38" s="19" t="s">
        <v>59</v>
      </c>
      <c r="J38" s="18">
        <f t="shared" si="0"/>
        <v>0</v>
      </c>
      <c r="K38" s="18" t="str">
        <f t="shared" si="1"/>
        <v/>
      </c>
      <c r="L38" s="22"/>
    </row>
    <row r="39" spans="2:12" ht="13.5" customHeight="1" outlineLevel="1" x14ac:dyDescent="0.2">
      <c r="B39" s="92" t="s">
        <v>58</v>
      </c>
      <c r="C39" s="68">
        <f>C40+C44+C46+C42+C48</f>
        <v>1195826022.5600002</v>
      </c>
      <c r="D39" s="68">
        <f>D40+D44+D46+D42+D48</f>
        <v>406036458.72000003</v>
      </c>
      <c r="E39" s="20" t="s">
        <v>59</v>
      </c>
      <c r="F39" s="20" t="s">
        <v>59</v>
      </c>
      <c r="G39" s="20" t="s">
        <v>59</v>
      </c>
      <c r="H39" s="20" t="s">
        <v>59</v>
      </c>
      <c r="I39" s="20" t="s">
        <v>59</v>
      </c>
      <c r="J39" s="16">
        <f t="shared" si="0"/>
        <v>0.7085867683027991</v>
      </c>
      <c r="K39" s="16">
        <f t="shared" si="1"/>
        <v>33.954475907019095</v>
      </c>
      <c r="L39" s="22"/>
    </row>
    <row r="40" spans="2:12" ht="22.5" outlineLevel="1" x14ac:dyDescent="0.2">
      <c r="B40" s="94" t="s">
        <v>11</v>
      </c>
      <c r="C40" s="69">
        <f>526376953.66</f>
        <v>526376953.66000003</v>
      </c>
      <c r="D40" s="72">
        <f>257235642.15</f>
        <v>257235642.15000001</v>
      </c>
      <c r="E40" s="17" t="s">
        <v>59</v>
      </c>
      <c r="F40" s="17" t="s">
        <v>59</v>
      </c>
      <c r="G40" s="17" t="s">
        <v>59</v>
      </c>
      <c r="H40" s="17" t="s">
        <v>59</v>
      </c>
      <c r="I40" s="17" t="s">
        <v>59</v>
      </c>
      <c r="J40" s="18">
        <f t="shared" si="0"/>
        <v>0.44890986621735496</v>
      </c>
      <c r="K40" s="18">
        <f t="shared" si="1"/>
        <v>48.869092835731351</v>
      </c>
      <c r="L40" s="22"/>
    </row>
    <row r="41" spans="2:12" ht="12.95" customHeight="1" outlineLevel="1" x14ac:dyDescent="0.2">
      <c r="B41" s="96" t="s">
        <v>6</v>
      </c>
      <c r="C41" s="70">
        <f>5182687.65</f>
        <v>5182687.6500000004</v>
      </c>
      <c r="D41" s="70">
        <f>2713394.38</f>
        <v>2713394.38</v>
      </c>
      <c r="E41" s="19" t="s">
        <v>59</v>
      </c>
      <c r="F41" s="19" t="s">
        <v>59</v>
      </c>
      <c r="G41" s="19" t="s">
        <v>59</v>
      </c>
      <c r="H41" s="19" t="s">
        <v>59</v>
      </c>
      <c r="I41" s="19" t="s">
        <v>59</v>
      </c>
      <c r="J41" s="18">
        <f t="shared" si="0"/>
        <v>4.7352283608133846E-3</v>
      </c>
      <c r="K41" s="18">
        <f t="shared" si="1"/>
        <v>52.354966442942008</v>
      </c>
      <c r="L41" s="22"/>
    </row>
    <row r="42" spans="2:12" ht="33.75" outlineLevel="1" x14ac:dyDescent="0.2">
      <c r="B42" s="94" t="s">
        <v>83</v>
      </c>
      <c r="C42" s="70">
        <f>83999743.75</f>
        <v>83999743.75</v>
      </c>
      <c r="D42" s="70">
        <f>35458300.52</f>
        <v>35458300.520000003</v>
      </c>
      <c r="E42" s="19" t="s">
        <v>59</v>
      </c>
      <c r="F42" s="19" t="s">
        <v>59</v>
      </c>
      <c r="G42" s="19" t="s">
        <v>59</v>
      </c>
      <c r="H42" s="19" t="s">
        <v>59</v>
      </c>
      <c r="I42" s="19" t="s">
        <v>59</v>
      </c>
      <c r="J42" s="18">
        <f>IF($D$5=0,"",100*$D42/$D$5)</f>
        <v>6.1879375694936026E-2</v>
      </c>
      <c r="K42" s="18">
        <f>IF(C42=0,"",100*D42/C42)</f>
        <v>42.212391296729407</v>
      </c>
      <c r="L42" s="22"/>
    </row>
    <row r="43" spans="2:12" ht="12.95" customHeight="1" outlineLevel="1" x14ac:dyDescent="0.2">
      <c r="B43" s="96" t="s">
        <v>6</v>
      </c>
      <c r="C43" s="70">
        <f>64508745.75</f>
        <v>64508745.75</v>
      </c>
      <c r="D43" s="70">
        <f>20225220.52</f>
        <v>20225220.52</v>
      </c>
      <c r="E43" s="19" t="s">
        <v>59</v>
      </c>
      <c r="F43" s="19" t="s">
        <v>59</v>
      </c>
      <c r="G43" s="19" t="s">
        <v>59</v>
      </c>
      <c r="H43" s="19" t="s">
        <v>59</v>
      </c>
      <c r="I43" s="19" t="s">
        <v>59</v>
      </c>
      <c r="J43" s="18">
        <f>IF($D$5=0,"",100*$D43/$D$5)</f>
        <v>3.5295657172404411E-2</v>
      </c>
      <c r="K43" s="18">
        <f>IF(C43=0,"",100*D43/C43)</f>
        <v>31.352679834113811</v>
      </c>
      <c r="L43" s="22"/>
    </row>
    <row r="44" spans="2:12" ht="12.95" customHeight="1" outlineLevel="1" x14ac:dyDescent="0.2">
      <c r="B44" s="94" t="s">
        <v>8</v>
      </c>
      <c r="C44" s="70">
        <f>174013895.02</f>
        <v>174013895.02000001</v>
      </c>
      <c r="D44" s="71">
        <f>45459707.69</f>
        <v>45459707.689999998</v>
      </c>
      <c r="E44" s="19" t="s">
        <v>59</v>
      </c>
      <c r="F44" s="19" t="s">
        <v>59</v>
      </c>
      <c r="G44" s="19" t="s">
        <v>59</v>
      </c>
      <c r="H44" s="19" t="s">
        <v>59</v>
      </c>
      <c r="I44" s="19" t="s">
        <v>59</v>
      </c>
      <c r="J44" s="18">
        <f t="shared" si="0"/>
        <v>7.9333140333243526E-2</v>
      </c>
      <c r="K44" s="18">
        <f t="shared" si="1"/>
        <v>26.124182603219793</v>
      </c>
      <c r="L44" s="22"/>
    </row>
    <row r="45" spans="2:12" ht="12.95" customHeight="1" outlineLevel="1" x14ac:dyDescent="0.2">
      <c r="B45" s="96" t="s">
        <v>6</v>
      </c>
      <c r="C45" s="70">
        <f>151010468.66</f>
        <v>151010468.66</v>
      </c>
      <c r="D45" s="70">
        <f>31850419.12</f>
        <v>31850419.120000001</v>
      </c>
      <c r="E45" s="19" t="s">
        <v>59</v>
      </c>
      <c r="F45" s="19" t="s">
        <v>59</v>
      </c>
      <c r="G45" s="19" t="s">
        <v>59</v>
      </c>
      <c r="H45" s="19" t="s">
        <v>59</v>
      </c>
      <c r="I45" s="19" t="s">
        <v>59</v>
      </c>
      <c r="J45" s="18">
        <f t="shared" si="0"/>
        <v>5.558315040101796E-2</v>
      </c>
      <c r="K45" s="18">
        <f t="shared" si="1"/>
        <v>21.091530542634899</v>
      </c>
      <c r="L45" s="22"/>
    </row>
    <row r="46" spans="2:12" ht="67.5" outlineLevel="1" x14ac:dyDescent="0.2">
      <c r="B46" s="94" t="s">
        <v>105</v>
      </c>
      <c r="C46" s="70">
        <f>1118730.97</f>
        <v>1118730.97</v>
      </c>
      <c r="D46" s="70">
        <f>357123.97</f>
        <v>357123.97</v>
      </c>
      <c r="E46" s="19" t="s">
        <v>59</v>
      </c>
      <c r="F46" s="19" t="s">
        <v>59</v>
      </c>
      <c r="G46" s="19" t="s">
        <v>59</v>
      </c>
      <c r="H46" s="19" t="s">
        <v>59</v>
      </c>
      <c r="I46" s="19" t="s">
        <v>59</v>
      </c>
      <c r="J46" s="18">
        <f t="shared" si="0"/>
        <v>6.2322807312303354E-4</v>
      </c>
      <c r="K46" s="18">
        <f>IF(C46=0,"",100*D46/C46)</f>
        <v>31.92223864152076</v>
      </c>
      <c r="L46" s="22"/>
    </row>
    <row r="47" spans="2:12" ht="12.95" customHeight="1" outlineLevel="1" x14ac:dyDescent="0.2">
      <c r="B47" s="96" t="s">
        <v>104</v>
      </c>
      <c r="C47" s="70">
        <f>1038730.97</f>
        <v>1038730.97</v>
      </c>
      <c r="D47" s="70">
        <f>277123.97</f>
        <v>277123.96999999997</v>
      </c>
      <c r="E47" s="19" t="s">
        <v>59</v>
      </c>
      <c r="F47" s="19" t="s">
        <v>59</v>
      </c>
      <c r="G47" s="19" t="s">
        <v>59</v>
      </c>
      <c r="H47" s="19" t="s">
        <v>59</v>
      </c>
      <c r="I47" s="19" t="s">
        <v>59</v>
      </c>
      <c r="J47" s="18">
        <f t="shared" si="0"/>
        <v>4.8361760158329705E-4</v>
      </c>
      <c r="K47" s="18">
        <f>IF(C47=0,"",100*D47/C47)</f>
        <v>26.679089966866009</v>
      </c>
      <c r="L47" s="22"/>
    </row>
    <row r="48" spans="2:12" ht="32.25" customHeight="1" outlineLevel="1" x14ac:dyDescent="0.2">
      <c r="B48" s="95" t="s">
        <v>103</v>
      </c>
      <c r="C48" s="73">
        <f>410316699.16</f>
        <v>410316699.16000003</v>
      </c>
      <c r="D48" s="73">
        <f>67525684.39</f>
        <v>67525684.390000001</v>
      </c>
      <c r="E48" s="24" t="s">
        <v>59</v>
      </c>
      <c r="F48" s="24" t="s">
        <v>59</v>
      </c>
      <c r="G48" s="24" t="s">
        <v>59</v>
      </c>
      <c r="H48" s="24" t="s">
        <v>59</v>
      </c>
      <c r="I48" s="24" t="s">
        <v>59</v>
      </c>
      <c r="J48" s="25">
        <f>IF($D$5=0,"",100*$D48/$D$5)</f>
        <v>0.11784115798414149</v>
      </c>
      <c r="K48" s="25">
        <f>IF(C48=0,"",100*D48/C48)</f>
        <v>16.456967149579462</v>
      </c>
      <c r="L48" s="22"/>
    </row>
    <row r="49" spans="2:12" ht="12.95" customHeight="1" outlineLevel="1" x14ac:dyDescent="0.2">
      <c r="B49" s="96" t="s">
        <v>104</v>
      </c>
      <c r="C49" s="70">
        <f>372463320.21</f>
        <v>372463320.20999998</v>
      </c>
      <c r="D49" s="70">
        <f>35353082.73</f>
        <v>35353082.729999997</v>
      </c>
      <c r="E49" s="19" t="s">
        <v>59</v>
      </c>
      <c r="F49" s="19" t="s">
        <v>59</v>
      </c>
      <c r="G49" s="19" t="s">
        <v>59</v>
      </c>
      <c r="H49" s="19" t="s">
        <v>59</v>
      </c>
      <c r="I49" s="19" t="s">
        <v>59</v>
      </c>
      <c r="J49" s="18">
        <f t="shared" si="0"/>
        <v>6.1695756878982648E-2</v>
      </c>
      <c r="K49" s="18">
        <f t="shared" ref="K49:K63" si="4">IF(C49=0,"",100*D49/C49)</f>
        <v>9.4916951043843554</v>
      </c>
      <c r="L49" s="22"/>
    </row>
    <row r="50" spans="2:12" ht="13.5" customHeight="1" outlineLevel="1" x14ac:dyDescent="0.2">
      <c r="B50" s="91" t="s">
        <v>90</v>
      </c>
      <c r="C50" s="68">
        <f>384859371.66</f>
        <v>384859371.66000003</v>
      </c>
      <c r="D50" s="68">
        <f>80541700.51</f>
        <v>80541700.510000005</v>
      </c>
      <c r="E50" s="20" t="s">
        <v>59</v>
      </c>
      <c r="F50" s="20" t="s">
        <v>59</v>
      </c>
      <c r="G50" s="20" t="s">
        <v>59</v>
      </c>
      <c r="H50" s="20" t="s">
        <v>59</v>
      </c>
      <c r="I50" s="20" t="s">
        <v>59</v>
      </c>
      <c r="J50" s="16">
        <f t="shared" si="0"/>
        <v>0.14055580983516663</v>
      </c>
      <c r="K50" s="16">
        <f t="shared" si="4"/>
        <v>20.927566389406707</v>
      </c>
      <c r="L50" s="22"/>
    </row>
    <row r="51" spans="2:12" ht="12.95" customHeight="1" outlineLevel="1" x14ac:dyDescent="0.2">
      <c r="B51" s="94" t="s">
        <v>91</v>
      </c>
      <c r="C51" s="70">
        <f>322254461.46</f>
        <v>322254461.45999998</v>
      </c>
      <c r="D51" s="70">
        <f>51376650.39</f>
        <v>51376650.390000001</v>
      </c>
      <c r="E51" s="19" t="s">
        <v>59</v>
      </c>
      <c r="F51" s="19" t="s">
        <v>59</v>
      </c>
      <c r="G51" s="19" t="s">
        <v>59</v>
      </c>
      <c r="H51" s="19" t="s">
        <v>59</v>
      </c>
      <c r="I51" s="19" t="s">
        <v>59</v>
      </c>
      <c r="J51" s="18">
        <f t="shared" si="0"/>
        <v>8.9658979838501046E-2</v>
      </c>
      <c r="K51" s="18">
        <f t="shared" si="4"/>
        <v>15.94288257708952</v>
      </c>
      <c r="L51" s="22"/>
    </row>
    <row r="52" spans="2:12" ht="13.5" customHeight="1" outlineLevel="1" x14ac:dyDescent="0.2">
      <c r="B52" s="91" t="s">
        <v>92</v>
      </c>
      <c r="C52" s="74">
        <f>6014946642.6</f>
        <v>6014946642.6000004</v>
      </c>
      <c r="D52" s="74">
        <f>1807288683.25</f>
        <v>1807288683.25</v>
      </c>
      <c r="E52" s="20" t="s">
        <v>59</v>
      </c>
      <c r="F52" s="20" t="s">
        <v>59</v>
      </c>
      <c r="G52" s="20" t="s">
        <v>59</v>
      </c>
      <c r="H52" s="20" t="s">
        <v>59</v>
      </c>
      <c r="I52" s="20" t="s">
        <v>59</v>
      </c>
      <c r="J52" s="23">
        <f t="shared" si="0"/>
        <v>3.1539553159620231</v>
      </c>
      <c r="K52" s="23">
        <f t="shared" si="4"/>
        <v>30.046628684120588</v>
      </c>
      <c r="L52" s="22"/>
    </row>
    <row r="53" spans="2:12" ht="12.95" customHeight="1" outlineLevel="1" x14ac:dyDescent="0.2">
      <c r="B53" s="95" t="s">
        <v>93</v>
      </c>
      <c r="C53" s="73">
        <f>5412303835.74</f>
        <v>5412303835.7399998</v>
      </c>
      <c r="D53" s="73">
        <f>1552253162.58</f>
        <v>1552253162.5799999</v>
      </c>
      <c r="E53" s="24" t="s">
        <v>59</v>
      </c>
      <c r="F53" s="24" t="s">
        <v>59</v>
      </c>
      <c r="G53" s="24" t="s">
        <v>59</v>
      </c>
      <c r="H53" s="24" t="s">
        <v>59</v>
      </c>
      <c r="I53" s="24" t="s">
        <v>59</v>
      </c>
      <c r="J53" s="25">
        <f t="shared" si="0"/>
        <v>2.7088849497105119</v>
      </c>
      <c r="K53" s="25">
        <f t="shared" si="4"/>
        <v>28.680081711779351</v>
      </c>
      <c r="L53" s="22"/>
    </row>
    <row r="54" spans="2:12" s="26" customFormat="1" ht="25.5" customHeight="1" x14ac:dyDescent="0.2">
      <c r="B54" s="89" t="s">
        <v>66</v>
      </c>
      <c r="C54" s="68">
        <f>C55+C56+C57+C61</f>
        <v>20621679000</v>
      </c>
      <c r="D54" s="68">
        <f>D55+D56+D57+D61</f>
        <v>12401691392</v>
      </c>
      <c r="E54" s="20" t="s">
        <v>59</v>
      </c>
      <c r="F54" s="20" t="s">
        <v>59</v>
      </c>
      <c r="G54" s="20" t="s">
        <v>59</v>
      </c>
      <c r="H54" s="20" t="s">
        <v>59</v>
      </c>
      <c r="I54" s="20" t="s">
        <v>59</v>
      </c>
      <c r="J54" s="16">
        <f t="shared" si="0"/>
        <v>21.642574789092627</v>
      </c>
      <c r="K54" s="16">
        <f t="shared" si="4"/>
        <v>60.139096297639007</v>
      </c>
      <c r="L54" s="27"/>
    </row>
    <row r="55" spans="2:12" ht="12.95" customHeight="1" outlineLevel="1" x14ac:dyDescent="0.2">
      <c r="B55" s="10" t="s">
        <v>42</v>
      </c>
      <c r="C55" s="70">
        <f>19140836546</f>
        <v>19140836546</v>
      </c>
      <c r="D55" s="70">
        <f>11704795328</f>
        <v>11704795328</v>
      </c>
      <c r="E55" s="19" t="s">
        <v>59</v>
      </c>
      <c r="F55" s="19" t="s">
        <v>59</v>
      </c>
      <c r="G55" s="19" t="s">
        <v>59</v>
      </c>
      <c r="H55" s="19" t="s">
        <v>59</v>
      </c>
      <c r="I55" s="19" t="s">
        <v>59</v>
      </c>
      <c r="J55" s="18">
        <f t="shared" si="0"/>
        <v>20.426399937727297</v>
      </c>
      <c r="K55" s="18">
        <f t="shared" si="4"/>
        <v>61.150907902434582</v>
      </c>
      <c r="L55" s="22"/>
    </row>
    <row r="56" spans="2:12" s="26" customFormat="1" ht="12.95" customHeight="1" outlineLevel="1" x14ac:dyDescent="0.2">
      <c r="B56" s="10" t="s">
        <v>38</v>
      </c>
      <c r="C56" s="69">
        <f>107972096</f>
        <v>107972096</v>
      </c>
      <c r="D56" s="72">
        <f>12000000</f>
        <v>12000000</v>
      </c>
      <c r="E56" s="17" t="s">
        <v>59</v>
      </c>
      <c r="F56" s="17" t="s">
        <v>59</v>
      </c>
      <c r="G56" s="17" t="s">
        <v>59</v>
      </c>
      <c r="H56" s="17" t="s">
        <v>59</v>
      </c>
      <c r="I56" s="17" t="s">
        <v>59</v>
      </c>
      <c r="J56" s="18">
        <f t="shared" si="0"/>
        <v>2.0941570730960465E-2</v>
      </c>
      <c r="K56" s="18">
        <f t="shared" si="4"/>
        <v>11.113982634920786</v>
      </c>
      <c r="L56" s="27"/>
    </row>
    <row r="57" spans="2:12" s="26" customFormat="1" ht="25.5" customHeight="1" outlineLevel="1" x14ac:dyDescent="0.2">
      <c r="B57" s="91" t="s">
        <v>113</v>
      </c>
      <c r="C57" s="68">
        <f>C58+C59+C60</f>
        <v>385441121</v>
      </c>
      <c r="D57" s="68">
        <f>D58+D59+D60</f>
        <v>191181402</v>
      </c>
      <c r="E57" s="20" t="s">
        <v>59</v>
      </c>
      <c r="F57" s="20" t="s">
        <v>59</v>
      </c>
      <c r="G57" s="20" t="s">
        <v>59</v>
      </c>
      <c r="H57" s="20" t="s">
        <v>59</v>
      </c>
      <c r="I57" s="20" t="s">
        <v>59</v>
      </c>
      <c r="J57" s="16">
        <f t="shared" si="0"/>
        <v>0.33363657103559885</v>
      </c>
      <c r="K57" s="16">
        <f t="shared" si="4"/>
        <v>49.600676104301805</v>
      </c>
      <c r="L57" s="27"/>
    </row>
    <row r="58" spans="2:12" ht="12.95" customHeight="1" outlineLevel="1" x14ac:dyDescent="0.2">
      <c r="B58" s="94" t="s">
        <v>43</v>
      </c>
      <c r="C58" s="69">
        <f>286421192</f>
        <v>286421192</v>
      </c>
      <c r="D58" s="72">
        <f>143210616</f>
        <v>143210616</v>
      </c>
      <c r="E58" s="17" t="s">
        <v>59</v>
      </c>
      <c r="F58" s="17" t="s">
        <v>59</v>
      </c>
      <c r="G58" s="17" t="s">
        <v>59</v>
      </c>
      <c r="H58" s="17" t="s">
        <v>59</v>
      </c>
      <c r="I58" s="17" t="s">
        <v>59</v>
      </c>
      <c r="J58" s="18">
        <f t="shared" si="0"/>
        <v>0.24992127036570153</v>
      </c>
      <c r="K58" s="18">
        <f t="shared" si="4"/>
        <v>50.000006982723541</v>
      </c>
      <c r="L58" s="22"/>
    </row>
    <row r="59" spans="2:12" ht="12.95" customHeight="1" outlineLevel="1" x14ac:dyDescent="0.2">
      <c r="B59" s="94" t="s">
        <v>41</v>
      </c>
      <c r="C59" s="70">
        <f>3078384</f>
        <v>3078384</v>
      </c>
      <c r="D59" s="70">
        <f>0</f>
        <v>0</v>
      </c>
      <c r="E59" s="19" t="s">
        <v>59</v>
      </c>
      <c r="F59" s="19" t="s">
        <v>59</v>
      </c>
      <c r="G59" s="19" t="s">
        <v>59</v>
      </c>
      <c r="H59" s="19" t="s">
        <v>59</v>
      </c>
      <c r="I59" s="19" t="s">
        <v>59</v>
      </c>
      <c r="J59" s="18">
        <f t="shared" si="0"/>
        <v>0</v>
      </c>
      <c r="K59" s="18">
        <f t="shared" si="4"/>
        <v>0</v>
      </c>
      <c r="L59" s="22"/>
    </row>
    <row r="60" spans="2:12" ht="12.95" customHeight="1" outlineLevel="1" x14ac:dyDescent="0.2">
      <c r="B60" s="94" t="s">
        <v>40</v>
      </c>
      <c r="C60" s="69">
        <f>95941545</f>
        <v>95941545</v>
      </c>
      <c r="D60" s="72">
        <f>47970786</f>
        <v>47970786</v>
      </c>
      <c r="E60" s="17" t="s">
        <v>59</v>
      </c>
      <c r="F60" s="17" t="s">
        <v>59</v>
      </c>
      <c r="G60" s="17" t="s">
        <v>59</v>
      </c>
      <c r="H60" s="17" t="s">
        <v>59</v>
      </c>
      <c r="I60" s="17" t="s">
        <v>59</v>
      </c>
      <c r="J60" s="18">
        <f t="shared" si="0"/>
        <v>8.3715300669897338E-2</v>
      </c>
      <c r="K60" s="18">
        <f t="shared" si="4"/>
        <v>50.000014071067959</v>
      </c>
      <c r="L60" s="22"/>
    </row>
    <row r="61" spans="2:12" s="26" customFormat="1" ht="40.5" customHeight="1" outlineLevel="1" x14ac:dyDescent="0.2">
      <c r="B61" s="91" t="s">
        <v>114</v>
      </c>
      <c r="C61" s="68">
        <f>C62+C63</f>
        <v>987429237</v>
      </c>
      <c r="D61" s="68">
        <f>D62+D63</f>
        <v>493714662</v>
      </c>
      <c r="E61" s="20" t="s">
        <v>59</v>
      </c>
      <c r="F61" s="20" t="s">
        <v>59</v>
      </c>
      <c r="G61" s="20" t="s">
        <v>59</v>
      </c>
      <c r="H61" s="20" t="s">
        <v>59</v>
      </c>
      <c r="I61" s="20" t="s">
        <v>59</v>
      </c>
      <c r="J61" s="16">
        <f t="shared" si="0"/>
        <v>0.86159670959876988</v>
      </c>
      <c r="K61" s="16">
        <f t="shared" si="4"/>
        <v>50.000004405378974</v>
      </c>
      <c r="L61" s="27"/>
    </row>
    <row r="62" spans="2:12" ht="12.95" customHeight="1" outlineLevel="1" x14ac:dyDescent="0.2">
      <c r="B62" s="94" t="s">
        <v>40</v>
      </c>
      <c r="C62" s="69">
        <f>841010099</f>
        <v>841010099</v>
      </c>
      <c r="D62" s="72">
        <f>420505074</f>
        <v>420505074</v>
      </c>
      <c r="E62" s="17" t="s">
        <v>59</v>
      </c>
      <c r="F62" s="17" t="s">
        <v>59</v>
      </c>
      <c r="G62" s="17" t="s">
        <v>59</v>
      </c>
      <c r="H62" s="17" t="s">
        <v>59</v>
      </c>
      <c r="I62" s="17" t="s">
        <v>59</v>
      </c>
      <c r="J62" s="18">
        <f t="shared" si="0"/>
        <v>0.73383639582489701</v>
      </c>
      <c r="K62" s="18">
        <f t="shared" si="4"/>
        <v>50.000002913163591</v>
      </c>
      <c r="L62" s="22"/>
    </row>
    <row r="63" spans="2:12" ht="12.95" customHeight="1" outlineLevel="1" x14ac:dyDescent="0.2">
      <c r="B63" s="94" t="s">
        <v>43</v>
      </c>
      <c r="C63" s="70">
        <f>146419138</f>
        <v>146419138</v>
      </c>
      <c r="D63" s="70">
        <f>73209588</f>
        <v>73209588</v>
      </c>
      <c r="E63" s="19" t="s">
        <v>59</v>
      </c>
      <c r="F63" s="19" t="s">
        <v>59</v>
      </c>
      <c r="G63" s="19" t="s">
        <v>59</v>
      </c>
      <c r="H63" s="19" t="s">
        <v>59</v>
      </c>
      <c r="I63" s="19" t="s">
        <v>59</v>
      </c>
      <c r="J63" s="18">
        <f t="shared" si="0"/>
        <v>0.12776031377387287</v>
      </c>
      <c r="K63" s="18">
        <f t="shared" si="4"/>
        <v>50.000012976445745</v>
      </c>
      <c r="L63" s="22"/>
    </row>
    <row r="64" spans="2:12" ht="11.25" customHeight="1" x14ac:dyDescent="0.2">
      <c r="B64" s="28"/>
      <c r="C64" s="29"/>
      <c r="D64" s="29"/>
      <c r="E64" s="29"/>
      <c r="F64" s="29"/>
      <c r="G64" s="29"/>
      <c r="H64" s="29"/>
      <c r="I64" s="29"/>
      <c r="J64" s="21"/>
      <c r="K64" s="21"/>
      <c r="L64" s="22"/>
    </row>
    <row r="65" spans="1:26" ht="13.5" customHeight="1" x14ac:dyDescent="0.2">
      <c r="B65" s="66" t="s">
        <v>5</v>
      </c>
      <c r="C65" s="20">
        <f t="shared" ref="C65:I65" si="5">+C5</f>
        <v>103587513575.89999</v>
      </c>
      <c r="D65" s="20">
        <f t="shared" si="5"/>
        <v>57302291953.959999</v>
      </c>
      <c r="E65" s="20">
        <f t="shared" si="5"/>
        <v>278428803.38</v>
      </c>
      <c r="F65" s="20">
        <f t="shared" si="5"/>
        <v>75007744.209999993</v>
      </c>
      <c r="G65" s="20">
        <f t="shared" si="5"/>
        <v>13257685.460000001</v>
      </c>
      <c r="H65" s="20">
        <f t="shared" si="5"/>
        <v>73540436.019999996</v>
      </c>
      <c r="I65" s="20">
        <f t="shared" si="5"/>
        <v>91367.33</v>
      </c>
      <c r="J65" s="16">
        <f t="shared" si="0"/>
        <v>100</v>
      </c>
      <c r="K65" s="16">
        <f>IF(C65=0,"",100*D65/C65)</f>
        <v>55.317759810861588</v>
      </c>
      <c r="L65" s="22"/>
    </row>
    <row r="66" spans="1:26" x14ac:dyDescent="0.2">
      <c r="B66" s="101" t="s">
        <v>77</v>
      </c>
      <c r="C66" s="19">
        <f>10272960807.16</f>
        <v>10272960807.16</v>
      </c>
      <c r="D66" s="19">
        <f>3168469920.83</f>
        <v>3168469920.8299999</v>
      </c>
      <c r="E66" s="19">
        <f>0</f>
        <v>0</v>
      </c>
      <c r="F66" s="19">
        <f>0</f>
        <v>0</v>
      </c>
      <c r="G66" s="19">
        <f>0</f>
        <v>0</v>
      </c>
      <c r="H66" s="19">
        <f>0</f>
        <v>0</v>
      </c>
      <c r="I66" s="19">
        <f>0</f>
        <v>0</v>
      </c>
      <c r="J66" s="18">
        <f t="shared" si="0"/>
        <v>5.5293947463318451</v>
      </c>
      <c r="K66" s="18">
        <f>IF(C66=0,"",100*D66/C66)</f>
        <v>30.842811340442911</v>
      </c>
      <c r="L66" s="22"/>
    </row>
    <row r="67" spans="1:26" s="26" customFormat="1" x14ac:dyDescent="0.2">
      <c r="A67" s="9"/>
      <c r="B67" s="101" t="s">
        <v>78</v>
      </c>
      <c r="C67" s="19">
        <f>C65-C66</f>
        <v>93314552768.73999</v>
      </c>
      <c r="D67" s="19">
        <f t="shared" ref="D67:I67" si="6">D65-D66</f>
        <v>54133822033.129997</v>
      </c>
      <c r="E67" s="19">
        <f t="shared" si="6"/>
        <v>278428803.38</v>
      </c>
      <c r="F67" s="19">
        <f t="shared" si="6"/>
        <v>75007744.209999993</v>
      </c>
      <c r="G67" s="19">
        <f t="shared" si="6"/>
        <v>13257685.460000001</v>
      </c>
      <c r="H67" s="19">
        <f t="shared" si="6"/>
        <v>73540436.019999996</v>
      </c>
      <c r="I67" s="19">
        <f t="shared" si="6"/>
        <v>91367.33</v>
      </c>
      <c r="J67" s="18">
        <f t="shared" si="0"/>
        <v>94.470605253668154</v>
      </c>
      <c r="K67" s="18">
        <f>IF(C67=0,"",100*D67/C67)</f>
        <v>58.012196840603217</v>
      </c>
      <c r="L67" s="30"/>
    </row>
    <row r="68" spans="1:26" ht="18" x14ac:dyDescent="0.2">
      <c r="B68" s="88" t="str">
        <f>CONCATENATE("Informacja z wykonania budżetów miast na prawach powiatu za ",$D$125," ",$C$126," rok    ",$C$128,"")</f>
        <v xml:space="preserve">Informacja z wykonania budżetów miast na prawach powiatu za II Kwartały 2022 rok    </v>
      </c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</row>
    <row r="69" spans="1:26" s="26" customFormat="1" x14ac:dyDescent="0.2">
      <c r="B69" s="31"/>
      <c r="C69" s="32"/>
      <c r="D69" s="32"/>
      <c r="E69" s="32"/>
      <c r="F69" s="33"/>
      <c r="G69" s="33"/>
      <c r="H69" s="33"/>
      <c r="I69" s="33"/>
      <c r="J69" s="33"/>
      <c r="K69" s="1"/>
      <c r="L69" s="1"/>
      <c r="M69" s="34"/>
    </row>
    <row r="70" spans="1:26" ht="29.25" customHeight="1" x14ac:dyDescent="0.2">
      <c r="B70" s="108" t="s">
        <v>0</v>
      </c>
      <c r="C70" s="105" t="s">
        <v>49</v>
      </c>
      <c r="D70" s="105" t="s">
        <v>51</v>
      </c>
      <c r="E70" s="105" t="s">
        <v>50</v>
      </c>
      <c r="F70" s="105" t="s">
        <v>12</v>
      </c>
      <c r="G70" s="105"/>
      <c r="H70" s="105"/>
      <c r="I70" s="111" t="s">
        <v>89</v>
      </c>
      <c r="J70" s="105" t="s">
        <v>2</v>
      </c>
      <c r="K70" s="109" t="s">
        <v>18</v>
      </c>
      <c r="M70" s="35"/>
      <c r="N70" s="53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ht="18" customHeight="1" x14ac:dyDescent="0.2">
      <c r="B71" s="108"/>
      <c r="C71" s="105"/>
      <c r="D71" s="105"/>
      <c r="E71" s="106"/>
      <c r="F71" s="110" t="s">
        <v>52</v>
      </c>
      <c r="G71" s="125" t="s">
        <v>30</v>
      </c>
      <c r="H71" s="106"/>
      <c r="I71" s="112"/>
      <c r="J71" s="105"/>
      <c r="K71" s="109"/>
      <c r="L71" s="2"/>
      <c r="M71" s="3"/>
      <c r="N71" s="53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ht="58.5" customHeight="1" x14ac:dyDescent="0.2">
      <c r="B72" s="108"/>
      <c r="C72" s="105"/>
      <c r="D72" s="105"/>
      <c r="E72" s="106"/>
      <c r="F72" s="106"/>
      <c r="G72" s="7" t="s">
        <v>47</v>
      </c>
      <c r="H72" s="7" t="s">
        <v>48</v>
      </c>
      <c r="I72" s="113"/>
      <c r="J72" s="105"/>
      <c r="K72" s="109"/>
      <c r="L72" s="2"/>
      <c r="M72" s="35"/>
      <c r="N72" s="53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ht="13.5" customHeight="1" x14ac:dyDescent="0.2">
      <c r="B73" s="108"/>
      <c r="C73" s="114" t="s">
        <v>82</v>
      </c>
      <c r="D73" s="115"/>
      <c r="E73" s="115"/>
      <c r="F73" s="115"/>
      <c r="G73" s="115"/>
      <c r="H73" s="115"/>
      <c r="I73" s="116"/>
      <c r="J73" s="122" t="s">
        <v>4</v>
      </c>
      <c r="K73" s="122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ht="11.25" customHeight="1" x14ac:dyDescent="0.2">
      <c r="B74" s="6">
        <v>1</v>
      </c>
      <c r="C74" s="8">
        <v>2</v>
      </c>
      <c r="D74" s="8">
        <v>3</v>
      </c>
      <c r="E74" s="8">
        <v>4</v>
      </c>
      <c r="F74" s="6">
        <v>5</v>
      </c>
      <c r="G74" s="6">
        <v>6</v>
      </c>
      <c r="H74" s="8">
        <v>7</v>
      </c>
      <c r="I74" s="8">
        <v>8</v>
      </c>
      <c r="J74" s="6">
        <v>9</v>
      </c>
      <c r="K74" s="8">
        <v>10</v>
      </c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ht="25.5" customHeight="1" x14ac:dyDescent="0.2">
      <c r="B75" s="66" t="s">
        <v>67</v>
      </c>
      <c r="C75" s="75">
        <f>119104748482.94</f>
        <v>119104748482.94</v>
      </c>
      <c r="D75" s="75">
        <f>53633569851.23</f>
        <v>53633569851.230003</v>
      </c>
      <c r="E75" s="75">
        <f>95179362739.16</f>
        <v>95179362739.160004</v>
      </c>
      <c r="F75" s="75">
        <f>3011776360.27</f>
        <v>3011776360.27</v>
      </c>
      <c r="G75" s="75">
        <f>544942.31</f>
        <v>544942.31000000006</v>
      </c>
      <c r="H75" s="75">
        <f>333839.93</f>
        <v>333839.93</v>
      </c>
      <c r="I75" s="75">
        <f>0</f>
        <v>0</v>
      </c>
      <c r="J75" s="44">
        <f>IF($D$75=0,"",100*$D75/$D$75)</f>
        <v>100</v>
      </c>
      <c r="K75" s="44">
        <f>IF(C75=0,"",100*D75/C75)</f>
        <v>45.030589069177388</v>
      </c>
      <c r="N75" s="54"/>
      <c r="O75" s="55"/>
    </row>
    <row r="76" spans="1:26" x14ac:dyDescent="0.2">
      <c r="B76" s="89" t="s">
        <v>14</v>
      </c>
      <c r="C76" s="76">
        <f>25228807119.29</f>
        <v>25228807119.290001</v>
      </c>
      <c r="D76" s="76">
        <f>5359853906.21</f>
        <v>5359853906.21</v>
      </c>
      <c r="E76" s="76">
        <f>15534940130.16</f>
        <v>15534940130.16</v>
      </c>
      <c r="F76" s="76">
        <f>599651500.82</f>
        <v>599651500.82000005</v>
      </c>
      <c r="G76" s="76">
        <f>652.92</f>
        <v>652.91999999999996</v>
      </c>
      <c r="H76" s="76">
        <f>22140</f>
        <v>22140</v>
      </c>
      <c r="I76" s="76">
        <f>0</f>
        <v>0</v>
      </c>
      <c r="J76" s="44">
        <f t="shared" ref="J76:J84" si="7">IF($D$75=0,"",100*$D76/$D$75)</f>
        <v>9.9934684957150584</v>
      </c>
      <c r="K76" s="44">
        <f t="shared" ref="K76:K84" si="8">IF(C76=0,"",100*D76/C76)</f>
        <v>21.244975558562356</v>
      </c>
      <c r="N76" s="56"/>
      <c r="O76" s="55"/>
    </row>
    <row r="77" spans="1:26" ht="12.95" customHeight="1" outlineLevel="1" x14ac:dyDescent="0.2">
      <c r="B77" s="10" t="s">
        <v>13</v>
      </c>
      <c r="C77" s="70">
        <f>22799766893.18</f>
        <v>22799766893.18</v>
      </c>
      <c r="D77" s="70">
        <f>4289173438.08</f>
        <v>4289173438.0799999</v>
      </c>
      <c r="E77" s="70">
        <f>14261118587.55</f>
        <v>14261118587.549999</v>
      </c>
      <c r="F77" s="70">
        <f>575967308.46</f>
        <v>575967308.46000004</v>
      </c>
      <c r="G77" s="70">
        <f>652.92</f>
        <v>652.91999999999996</v>
      </c>
      <c r="H77" s="70">
        <f>22140</f>
        <v>22140</v>
      </c>
      <c r="I77" s="70">
        <f>0</f>
        <v>0</v>
      </c>
      <c r="J77" s="44">
        <f t="shared" si="7"/>
        <v>7.997180590397778</v>
      </c>
      <c r="K77" s="44">
        <f t="shared" si="8"/>
        <v>18.812356539324981</v>
      </c>
      <c r="N77" s="29"/>
      <c r="O77" s="55"/>
    </row>
    <row r="78" spans="1:26" ht="25.5" customHeight="1" x14ac:dyDescent="0.2">
      <c r="B78" s="89" t="s">
        <v>68</v>
      </c>
      <c r="C78" s="76">
        <f t="shared" ref="C78:I78" si="9">C75-C76</f>
        <v>93875941363.649994</v>
      </c>
      <c r="D78" s="76">
        <f t="shared" si="9"/>
        <v>48273715945.020004</v>
      </c>
      <c r="E78" s="76">
        <f>E75-E76</f>
        <v>79644422609</v>
      </c>
      <c r="F78" s="76">
        <f t="shared" si="9"/>
        <v>2412124859.4499998</v>
      </c>
      <c r="G78" s="76">
        <f t="shared" si="9"/>
        <v>544289.39</v>
      </c>
      <c r="H78" s="76">
        <f t="shared" si="9"/>
        <v>311699.93</v>
      </c>
      <c r="I78" s="76">
        <f t="shared" si="9"/>
        <v>0</v>
      </c>
      <c r="J78" s="44">
        <f t="shared" si="7"/>
        <v>90.006531504284936</v>
      </c>
      <c r="K78" s="44">
        <f t="shared" si="8"/>
        <v>51.422883481956987</v>
      </c>
      <c r="N78" s="56"/>
      <c r="O78" s="55"/>
    </row>
    <row r="79" spans="1:26" ht="24" customHeight="1" outlineLevel="1" x14ac:dyDescent="0.2">
      <c r="B79" s="10" t="s">
        <v>110</v>
      </c>
      <c r="C79" s="70">
        <f>36184885550.5501</f>
        <v>36184885550.550102</v>
      </c>
      <c r="D79" s="70">
        <f>18614907667.95</f>
        <v>18614907667.950001</v>
      </c>
      <c r="E79" s="70">
        <f>33054633472.2</f>
        <v>33054633472.200001</v>
      </c>
      <c r="F79" s="70">
        <f>1059372016.44</f>
        <v>1059372016.4400001</v>
      </c>
      <c r="G79" s="70">
        <f>7262.46</f>
        <v>7262.46</v>
      </c>
      <c r="H79" s="70">
        <f>2660.3</f>
        <v>2660.3</v>
      </c>
      <c r="I79" s="70">
        <f>0</f>
        <v>0</v>
      </c>
      <c r="J79" s="44">
        <f t="shared" si="7"/>
        <v>34.707567890007034</v>
      </c>
      <c r="K79" s="44">
        <f t="shared" si="8"/>
        <v>51.443876040301603</v>
      </c>
      <c r="N79" s="29"/>
      <c r="O79" s="55"/>
    </row>
    <row r="80" spans="1:26" ht="12.95" customHeight="1" outlineLevel="1" x14ac:dyDescent="0.2">
      <c r="B80" s="10" t="s">
        <v>46</v>
      </c>
      <c r="C80" s="77">
        <f>10745852851.41</f>
        <v>10745852851.41</v>
      </c>
      <c r="D80" s="77">
        <f>5834940166.16</f>
        <v>5834940166.1599998</v>
      </c>
      <c r="E80" s="77">
        <f>8668462129.43</f>
        <v>8668462129.4300003</v>
      </c>
      <c r="F80" s="77">
        <f>95751256.59</f>
        <v>95751256.590000004</v>
      </c>
      <c r="G80" s="77">
        <f>0</f>
        <v>0</v>
      </c>
      <c r="H80" s="77">
        <f>0</f>
        <v>0</v>
      </c>
      <c r="I80" s="77">
        <f>0</f>
        <v>0</v>
      </c>
      <c r="J80" s="44">
        <f t="shared" si="7"/>
        <v>10.879268678823893</v>
      </c>
      <c r="K80" s="44">
        <f t="shared" si="8"/>
        <v>54.299460888247488</v>
      </c>
      <c r="N80" s="57"/>
      <c r="O80" s="55"/>
    </row>
    <row r="81" spans="2:15" ht="12.95" customHeight="1" outlineLevel="1" x14ac:dyDescent="0.2">
      <c r="B81" s="10" t="s">
        <v>45</v>
      </c>
      <c r="C81" s="70">
        <f>1584032347.07</f>
        <v>1584032347.0699999</v>
      </c>
      <c r="D81" s="70">
        <f>636091536.06</f>
        <v>636091536.05999994</v>
      </c>
      <c r="E81" s="70">
        <f>1137230656.83</f>
        <v>1137230656.8299999</v>
      </c>
      <c r="F81" s="70">
        <f>36669403.59</f>
        <v>36669403.590000004</v>
      </c>
      <c r="G81" s="70">
        <f>0</f>
        <v>0</v>
      </c>
      <c r="H81" s="70">
        <f>0</f>
        <v>0</v>
      </c>
      <c r="I81" s="70">
        <f>0</f>
        <v>0</v>
      </c>
      <c r="J81" s="44">
        <f t="shared" si="7"/>
        <v>1.1859951478605748</v>
      </c>
      <c r="K81" s="44">
        <f t="shared" si="8"/>
        <v>40.156473902605882</v>
      </c>
      <c r="N81" s="29"/>
      <c r="O81" s="55"/>
    </row>
    <row r="82" spans="2:15" ht="22.5" customHeight="1" outlineLevel="1" x14ac:dyDescent="0.2">
      <c r="B82" s="10" t="s">
        <v>74</v>
      </c>
      <c r="C82" s="77">
        <f>130275154.41</f>
        <v>130275154.41</v>
      </c>
      <c r="D82" s="77">
        <f>8667895.49</f>
        <v>8667895.4900000002</v>
      </c>
      <c r="E82" s="77">
        <f>29690913.8</f>
        <v>29690913.800000001</v>
      </c>
      <c r="F82" s="77">
        <f>0</f>
        <v>0</v>
      </c>
      <c r="G82" s="77">
        <f>0</f>
        <v>0</v>
      </c>
      <c r="H82" s="77">
        <f>0</f>
        <v>0</v>
      </c>
      <c r="I82" s="77">
        <f>0</f>
        <v>0</v>
      </c>
      <c r="J82" s="44">
        <f t="shared" si="7"/>
        <v>1.6161324920275125E-2</v>
      </c>
      <c r="K82" s="44">
        <f t="shared" si="8"/>
        <v>6.6535292391368275</v>
      </c>
      <c r="N82" s="57"/>
      <c r="O82" s="55"/>
    </row>
    <row r="83" spans="2:15" ht="22.5" customHeight="1" outlineLevel="1" x14ac:dyDescent="0.2">
      <c r="B83" s="10" t="s">
        <v>75</v>
      </c>
      <c r="C83" s="77">
        <f>10860870130.24</f>
        <v>10860870130.24</v>
      </c>
      <c r="D83" s="77">
        <f>8262824016.59</f>
        <v>8262824016.5900002</v>
      </c>
      <c r="E83" s="77">
        <f>9715013941.52</f>
        <v>9715013941.5200005</v>
      </c>
      <c r="F83" s="77">
        <f>38995431.35</f>
        <v>38995431.350000001</v>
      </c>
      <c r="G83" s="77">
        <f>34427.43</f>
        <v>34427.43</v>
      </c>
      <c r="H83" s="77">
        <f>16373.23</f>
        <v>16373.23</v>
      </c>
      <c r="I83" s="78">
        <f>0</f>
        <v>0</v>
      </c>
      <c r="J83" s="44">
        <f t="shared" si="7"/>
        <v>15.406067579520823</v>
      </c>
      <c r="K83" s="44">
        <f t="shared" si="8"/>
        <v>76.078840069947603</v>
      </c>
      <c r="N83" s="57"/>
      <c r="O83" s="55"/>
    </row>
    <row r="84" spans="2:15" ht="12.95" customHeight="1" outlineLevel="1" x14ac:dyDescent="0.2">
      <c r="B84" s="10" t="s">
        <v>44</v>
      </c>
      <c r="C84" s="70">
        <f t="shared" ref="C84:I84" si="10">C78-C79-C80-C81-C82-C83</f>
        <v>34370025329.969894</v>
      </c>
      <c r="D84" s="70">
        <f t="shared" si="10"/>
        <v>14916284662.77</v>
      </c>
      <c r="E84" s="70">
        <f>E78-E79-E80-E81-E82-E83</f>
        <v>27039391495.219997</v>
      </c>
      <c r="F84" s="70">
        <f t="shared" si="10"/>
        <v>1181336751.48</v>
      </c>
      <c r="G84" s="70">
        <f t="shared" si="10"/>
        <v>502599.50000000006</v>
      </c>
      <c r="H84" s="70">
        <f t="shared" si="10"/>
        <v>292666.40000000002</v>
      </c>
      <c r="I84" s="78">
        <f t="shared" si="10"/>
        <v>0</v>
      </c>
      <c r="J84" s="44">
        <f t="shared" si="7"/>
        <v>27.811470883152332</v>
      </c>
      <c r="K84" s="44">
        <f t="shared" si="8"/>
        <v>43.399108727927917</v>
      </c>
      <c r="N84" s="29"/>
      <c r="O84" s="55"/>
    </row>
    <row r="85" spans="2:15" x14ac:dyDescent="0.2">
      <c r="B85" s="66" t="s">
        <v>15</v>
      </c>
      <c r="C85" s="76">
        <f>C5-C75</f>
        <v>-15517234907.040009</v>
      </c>
      <c r="D85" s="76">
        <f>D5-D75</f>
        <v>3668722102.7299957</v>
      </c>
      <c r="E85" s="62"/>
      <c r="F85" s="56"/>
      <c r="G85" s="56"/>
      <c r="H85" s="56"/>
      <c r="I85" s="126"/>
      <c r="J85" s="126"/>
      <c r="K85" s="37"/>
      <c r="L85" s="37"/>
      <c r="M85" s="4"/>
      <c r="N85" s="55"/>
      <c r="O85" s="56"/>
    </row>
    <row r="86" spans="2:15" ht="38.25" x14ac:dyDescent="0.2">
      <c r="B86" s="97" t="s">
        <v>115</v>
      </c>
      <c r="C86" s="76">
        <f>+C67-C78</f>
        <v>-561388594.91000366</v>
      </c>
      <c r="D86" s="76">
        <f>+D67-D78</f>
        <v>5860106088.109993</v>
      </c>
      <c r="E86" s="62"/>
      <c r="F86" s="56"/>
      <c r="G86" s="56"/>
      <c r="H86" s="56"/>
      <c r="I86" s="56"/>
      <c r="J86" s="56"/>
      <c r="K86" s="37"/>
      <c r="L86" s="37"/>
      <c r="M86" s="4"/>
      <c r="N86" s="55"/>
      <c r="O86" s="56"/>
    </row>
    <row r="87" spans="2:15" ht="8.25" customHeight="1" x14ac:dyDescent="0.2">
      <c r="B87" s="38"/>
      <c r="C87" s="39"/>
      <c r="D87" s="39"/>
      <c r="E87" s="39"/>
      <c r="F87" s="40"/>
      <c r="G87" s="40"/>
      <c r="H87" s="40"/>
      <c r="I87" s="40"/>
      <c r="J87" s="41"/>
      <c r="K87" s="41"/>
      <c r="L87" s="42"/>
      <c r="M87" s="35"/>
    </row>
    <row r="88" spans="2:15" x14ac:dyDescent="0.2">
      <c r="B88" s="43" t="s">
        <v>79</v>
      </c>
      <c r="C88" s="58"/>
      <c r="D88" s="58"/>
      <c r="E88" s="58"/>
      <c r="F88" s="59"/>
      <c r="G88" s="59"/>
      <c r="H88" s="59"/>
      <c r="I88" s="59"/>
      <c r="J88" s="60"/>
      <c r="K88" s="60"/>
      <c r="L88" s="42"/>
      <c r="M88" s="35"/>
    </row>
    <row r="89" spans="2:15" ht="26.25" customHeight="1" x14ac:dyDescent="0.2">
      <c r="B89" s="66" t="s">
        <v>94</v>
      </c>
      <c r="C89" s="79">
        <f>9385896941.65001</f>
        <v>9385896941.6500092</v>
      </c>
      <c r="D89" s="80">
        <f>2199689490.63</f>
        <v>2199689490.6300001</v>
      </c>
      <c r="E89" s="80">
        <f>6492693531.47</f>
        <v>6492693531.4700003</v>
      </c>
      <c r="F89" s="80">
        <f>178734516.18</f>
        <v>178734516.18000001</v>
      </c>
      <c r="G89" s="80">
        <f>0</f>
        <v>0</v>
      </c>
      <c r="H89" s="80">
        <f>383.14</f>
        <v>383.14</v>
      </c>
      <c r="I89" s="80">
        <f>0</f>
        <v>0</v>
      </c>
      <c r="J89" s="63">
        <f>IF($D$89=0,"",100*$D89/$D$89)</f>
        <v>100</v>
      </c>
      <c r="K89" s="44">
        <f>IF(C89=0,"",100*D89/C89)</f>
        <v>23.43611382380363</v>
      </c>
      <c r="L89" s="35"/>
    </row>
    <row r="90" spans="2:15" ht="15" customHeight="1" x14ac:dyDescent="0.2">
      <c r="B90" s="102" t="s">
        <v>80</v>
      </c>
      <c r="C90" s="81">
        <f>8390411397.36</f>
        <v>8390411397.3599997</v>
      </c>
      <c r="D90" s="77">
        <f>1873035497.31</f>
        <v>1873035497.3099999</v>
      </c>
      <c r="E90" s="77">
        <f>5978243335.29</f>
        <v>5978243335.29</v>
      </c>
      <c r="F90" s="77">
        <f>173924061.65</f>
        <v>173924061.65000001</v>
      </c>
      <c r="G90" s="77">
        <f>0</f>
        <v>0</v>
      </c>
      <c r="H90" s="77">
        <f>0</f>
        <v>0</v>
      </c>
      <c r="I90" s="77">
        <f>0</f>
        <v>0</v>
      </c>
      <c r="J90" s="63">
        <f>IF($D$89=0,"",100*$D90/$D$89)</f>
        <v>85.149995273812706</v>
      </c>
      <c r="K90" s="63">
        <f>IF(C90=0,"",100*D90/C90)</f>
        <v>22.323523944241174</v>
      </c>
      <c r="L90" s="35"/>
    </row>
    <row r="91" spans="2:15" x14ac:dyDescent="0.2">
      <c r="B91" s="103" t="s">
        <v>81</v>
      </c>
      <c r="C91" s="81">
        <f>C89-C90</f>
        <v>995485544.2900095</v>
      </c>
      <c r="D91" s="77">
        <f t="shared" ref="D91:I91" si="11">D89-D90</f>
        <v>326653993.32000017</v>
      </c>
      <c r="E91" s="77">
        <f t="shared" si="11"/>
        <v>514450196.18000031</v>
      </c>
      <c r="F91" s="77">
        <f t="shared" si="11"/>
        <v>4810454.5300000012</v>
      </c>
      <c r="G91" s="77">
        <f t="shared" si="11"/>
        <v>0</v>
      </c>
      <c r="H91" s="77">
        <f t="shared" si="11"/>
        <v>383.14</v>
      </c>
      <c r="I91" s="77">
        <f t="shared" si="11"/>
        <v>0</v>
      </c>
      <c r="J91" s="63">
        <f>IF($D$89=0,"",100*$D91/$D$89)</f>
        <v>14.85000472618729</v>
      </c>
      <c r="K91" s="63">
        <f>IF(C91=0,"",100*D91/C91)</f>
        <v>32.813534580552158</v>
      </c>
    </row>
    <row r="92" spans="2:15" ht="6" customHeight="1" x14ac:dyDescent="0.2"/>
    <row r="93" spans="2:15" ht="18" x14ac:dyDescent="0.2">
      <c r="B93" s="88" t="str">
        <f>CONCATENATE("Informacja z wykonania budżetów miast na prawach powiatu za ",$D$125," ",$C$126," rok    ",$C$128,"")</f>
        <v xml:space="preserve">Informacja z wykonania budżetów miast na prawach powiatu za II Kwartały 2022 rok    </v>
      </c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8"/>
    </row>
    <row r="94" spans="2:15" ht="6.75" customHeight="1" x14ac:dyDescent="0.2"/>
    <row r="95" spans="2:15" x14ac:dyDescent="0.2">
      <c r="B95" s="13" t="s">
        <v>16</v>
      </c>
      <c r="C95" s="52" t="s">
        <v>17</v>
      </c>
      <c r="D95" s="8" t="s">
        <v>1</v>
      </c>
      <c r="E95" s="8" t="s">
        <v>25</v>
      </c>
      <c r="F95" s="8" t="s">
        <v>26</v>
      </c>
    </row>
    <row r="96" spans="2:15" x14ac:dyDescent="0.2">
      <c r="B96" s="13"/>
      <c r="C96" s="110" t="s">
        <v>82</v>
      </c>
      <c r="D96" s="117"/>
      <c r="E96" s="120" t="s">
        <v>4</v>
      </c>
      <c r="F96" s="121"/>
    </row>
    <row r="97" spans="2:8" x14ac:dyDescent="0.2">
      <c r="B97" s="11">
        <v>1</v>
      </c>
      <c r="C97" s="14">
        <v>2</v>
      </c>
      <c r="D97" s="12">
        <v>3</v>
      </c>
      <c r="E97" s="12">
        <v>4</v>
      </c>
      <c r="F97" s="12">
        <v>5</v>
      </c>
    </row>
    <row r="98" spans="2:8" ht="25.5" x14ac:dyDescent="0.2">
      <c r="B98" s="64" t="s">
        <v>69</v>
      </c>
      <c r="C98" s="82">
        <f>18977072787.25</f>
        <v>18977072787.25</v>
      </c>
      <c r="D98" s="75">
        <f>13751830006.37</f>
        <v>13751830006.370001</v>
      </c>
      <c r="E98" s="45">
        <f>IF($D$98=0,"",100*$D98/$D$98)</f>
        <v>100</v>
      </c>
      <c r="F98" s="36">
        <f t="shared" ref="F98:F105" si="12">IF(C98=0,"",100*D98/C98)</f>
        <v>72.465496446898541</v>
      </c>
    </row>
    <row r="99" spans="2:8" ht="22.5" x14ac:dyDescent="0.2">
      <c r="B99" s="98" t="s">
        <v>95</v>
      </c>
      <c r="C99" s="83">
        <f>9352461201.34</f>
        <v>9352461201.3400002</v>
      </c>
      <c r="D99" s="72">
        <f>141524751.14</f>
        <v>141524751.13999999</v>
      </c>
      <c r="E99" s="46">
        <f t="shared" ref="E99:E105" si="13">IF($D$98=0,"",100*$D99/$D$98)</f>
        <v>1.0291339485322619</v>
      </c>
      <c r="F99" s="47">
        <f t="shared" si="12"/>
        <v>1.5132353729489156</v>
      </c>
    </row>
    <row r="100" spans="2:8" ht="22.5" x14ac:dyDescent="0.2">
      <c r="B100" s="100" t="s">
        <v>96</v>
      </c>
      <c r="C100" s="84">
        <f>961426000</f>
        <v>961426000</v>
      </c>
      <c r="D100" s="71">
        <f>0</f>
        <v>0</v>
      </c>
      <c r="E100" s="48">
        <f t="shared" si="13"/>
        <v>0</v>
      </c>
      <c r="F100" s="44">
        <f t="shared" si="12"/>
        <v>0</v>
      </c>
    </row>
    <row r="101" spans="2:8" ht="12.95" customHeight="1" x14ac:dyDescent="0.2">
      <c r="B101" s="99" t="s">
        <v>97</v>
      </c>
      <c r="C101" s="84">
        <f>33238780.71</f>
        <v>33238780.710000001</v>
      </c>
      <c r="D101" s="71">
        <f>4941033.89</f>
        <v>4941033.8899999997</v>
      </c>
      <c r="E101" s="48">
        <f t="shared" si="13"/>
        <v>3.5930009952939046E-2</v>
      </c>
      <c r="F101" s="44">
        <f t="shared" si="12"/>
        <v>14.865268173069515</v>
      </c>
    </row>
    <row r="102" spans="2:8" ht="45.75" customHeight="1" x14ac:dyDescent="0.2">
      <c r="B102" s="99" t="s">
        <v>106</v>
      </c>
      <c r="C102" s="84">
        <f>117856737.07</f>
        <v>117856737.06999999</v>
      </c>
      <c r="D102" s="71">
        <f>182065421.45</f>
        <v>182065421.44999999</v>
      </c>
      <c r="E102" s="48">
        <f t="shared" si="13"/>
        <v>1.3239359515472868</v>
      </c>
      <c r="F102" s="44">
        <f t="shared" si="12"/>
        <v>154.48028341550284</v>
      </c>
    </row>
    <row r="103" spans="2:8" ht="35.25" customHeight="1" x14ac:dyDescent="0.2">
      <c r="B103" s="99" t="s">
        <v>102</v>
      </c>
      <c r="C103" s="84">
        <f>1530348495.32</f>
        <v>1530348495.3199999</v>
      </c>
      <c r="D103" s="71">
        <f>1693973048.58</f>
        <v>1693973048.5799999</v>
      </c>
      <c r="E103" s="48">
        <f t="shared" si="13"/>
        <v>12.318164548247999</v>
      </c>
      <c r="F103" s="44">
        <f t="shared" si="12"/>
        <v>110.69197988303871</v>
      </c>
    </row>
    <row r="104" spans="2:8" ht="12.95" customHeight="1" x14ac:dyDescent="0.2">
      <c r="B104" s="99" t="s">
        <v>98</v>
      </c>
      <c r="C104" s="84">
        <f>0</f>
        <v>0</v>
      </c>
      <c r="D104" s="71">
        <f>0</f>
        <v>0</v>
      </c>
      <c r="E104" s="48">
        <f t="shared" si="13"/>
        <v>0</v>
      </c>
      <c r="F104" s="44" t="str">
        <f t="shared" si="12"/>
        <v/>
      </c>
    </row>
    <row r="105" spans="2:8" ht="35.25" customHeight="1" x14ac:dyDescent="0.2">
      <c r="B105" s="99" t="s">
        <v>101</v>
      </c>
      <c r="C105" s="84">
        <f>7810756488.81</f>
        <v>7810756488.8100004</v>
      </c>
      <c r="D105" s="71">
        <f>11639423456</f>
        <v>11639423456</v>
      </c>
      <c r="E105" s="48">
        <f t="shared" si="13"/>
        <v>84.639087674938452</v>
      </c>
      <c r="F105" s="44">
        <f t="shared" si="12"/>
        <v>149.01787647169772</v>
      </c>
    </row>
    <row r="106" spans="2:8" ht="12.95" customHeight="1" x14ac:dyDescent="0.2">
      <c r="B106" s="99" t="s">
        <v>84</v>
      </c>
      <c r="C106" s="84">
        <f>132411084</f>
        <v>132411084</v>
      </c>
      <c r="D106" s="71">
        <f>89902295.31</f>
        <v>89902295.310000002</v>
      </c>
      <c r="E106" s="48"/>
      <c r="F106" s="44"/>
    </row>
    <row r="107" spans="2:8" ht="25.5" x14ac:dyDescent="0.2">
      <c r="B107" s="67" t="s">
        <v>70</v>
      </c>
      <c r="C107" s="85">
        <f>3459837880.21</f>
        <v>3459837880.21</v>
      </c>
      <c r="D107" s="75">
        <f>1607463711.62</f>
        <v>1607463711.6199999</v>
      </c>
      <c r="E107" s="49">
        <f>IF($D$107=0,"",100*$D107/$D$107)</f>
        <v>100.00000000000001</v>
      </c>
      <c r="F107" s="36">
        <f>IF(C107=0,"",100*D107/C107)</f>
        <v>46.460665709643962</v>
      </c>
    </row>
    <row r="108" spans="2:8" ht="22.5" x14ac:dyDescent="0.2">
      <c r="B108" s="99" t="s">
        <v>99</v>
      </c>
      <c r="C108" s="84">
        <f>3280135913.21</f>
        <v>3280135913.21</v>
      </c>
      <c r="D108" s="71">
        <f>1400946654.96</f>
        <v>1400946654.96</v>
      </c>
      <c r="E108" s="48">
        <f>IF($D$107=0,"",100*$D108/$D$107)</f>
        <v>87.152614695614361</v>
      </c>
      <c r="F108" s="44">
        <f>IF(C108=0,"",100*D108/C108)</f>
        <v>42.710018487892725</v>
      </c>
    </row>
    <row r="109" spans="2:8" ht="12.95" customHeight="1" x14ac:dyDescent="0.2">
      <c r="B109" s="100" t="s">
        <v>100</v>
      </c>
      <c r="C109" s="84">
        <f>525007003</f>
        <v>525007003</v>
      </c>
      <c r="D109" s="71">
        <f>42000000</f>
        <v>42000000</v>
      </c>
      <c r="E109" s="48">
        <f>IF($D$107=0,"",100*$D109/$D$107)</f>
        <v>2.6128117043259693</v>
      </c>
      <c r="F109" s="44">
        <f>IF(C109=0,"",100*D109/C109)</f>
        <v>7.9998932890424701</v>
      </c>
    </row>
    <row r="110" spans="2:8" ht="12.95" customHeight="1" x14ac:dyDescent="0.2">
      <c r="B110" s="99" t="s">
        <v>116</v>
      </c>
      <c r="C110" s="84">
        <f>32743385</f>
        <v>32743385</v>
      </c>
      <c r="D110" s="71">
        <f>17217056.66</f>
        <v>17217056.66</v>
      </c>
      <c r="E110" s="48">
        <f>IF($D$107=0,"",100*$D110/$D$107)</f>
        <v>1.0710696941736042</v>
      </c>
      <c r="F110" s="44">
        <f>IF(C110=0,"",100*D110/C110)</f>
        <v>52.581786092061037</v>
      </c>
    </row>
    <row r="111" spans="2:8" ht="12.95" customHeight="1" x14ac:dyDescent="0.2">
      <c r="B111" s="99" t="s">
        <v>29</v>
      </c>
      <c r="C111" s="84">
        <f>146958582</f>
        <v>146958582</v>
      </c>
      <c r="D111" s="71">
        <f>189300000</f>
        <v>189300000</v>
      </c>
      <c r="E111" s="48">
        <f>IF($D$107=0,"",100*$D111/$D$107)</f>
        <v>11.776315610212047</v>
      </c>
      <c r="F111" s="44">
        <f>IF(C111=0,"",100*D111/C111)</f>
        <v>128.81180358694533</v>
      </c>
    </row>
    <row r="112" spans="2:8" x14ac:dyDescent="0.2">
      <c r="B112" s="26"/>
      <c r="C112" s="26"/>
      <c r="D112" s="26"/>
      <c r="E112" s="26"/>
      <c r="F112" s="26"/>
      <c r="G112" s="26"/>
      <c r="H112" s="26"/>
    </row>
    <row r="113" spans="2:8" x14ac:dyDescent="0.2">
      <c r="B113" s="13" t="s">
        <v>16</v>
      </c>
      <c r="C113" s="11" t="s">
        <v>17</v>
      </c>
      <c r="D113" s="11" t="s">
        <v>1</v>
      </c>
      <c r="E113" s="61"/>
    </row>
    <row r="114" spans="2:8" x14ac:dyDescent="0.2">
      <c r="B114" s="13"/>
      <c r="C114" s="118" t="s">
        <v>82</v>
      </c>
      <c r="D114" s="119"/>
      <c r="E114" s="61"/>
    </row>
    <row r="115" spans="2:8" x14ac:dyDescent="0.2">
      <c r="B115" s="11">
        <v>1</v>
      </c>
      <c r="C115" s="11">
        <v>2</v>
      </c>
      <c r="D115" s="11">
        <v>3</v>
      </c>
      <c r="E115" s="61"/>
    </row>
    <row r="116" spans="2:8" ht="36" customHeight="1" x14ac:dyDescent="0.2">
      <c r="B116" s="65" t="s">
        <v>111</v>
      </c>
      <c r="C116" s="84">
        <f>15517234907.04</f>
        <v>15517234907.040001</v>
      </c>
      <c r="D116" s="71">
        <f>0</f>
        <v>0</v>
      </c>
      <c r="E116" s="61"/>
    </row>
    <row r="117" spans="2:8" ht="33.75" x14ac:dyDescent="0.2">
      <c r="B117" s="104" t="s">
        <v>85</v>
      </c>
      <c r="C117" s="84">
        <f>700286440</f>
        <v>700286440</v>
      </c>
      <c r="D117" s="71">
        <f>0</f>
        <v>0</v>
      </c>
      <c r="E117" s="61"/>
    </row>
    <row r="118" spans="2:8" ht="12.95" customHeight="1" x14ac:dyDescent="0.2">
      <c r="B118" s="104" t="s">
        <v>86</v>
      </c>
      <c r="C118" s="84">
        <f>6503165409.03</f>
        <v>6503165409.0299997</v>
      </c>
      <c r="D118" s="71">
        <f>0</f>
        <v>0</v>
      </c>
      <c r="E118" s="61"/>
    </row>
    <row r="119" spans="2:8" ht="22.5" x14ac:dyDescent="0.2">
      <c r="B119" s="104" t="s">
        <v>87</v>
      </c>
      <c r="C119" s="84">
        <f>0</f>
        <v>0</v>
      </c>
      <c r="D119" s="71">
        <f>0</f>
        <v>0</v>
      </c>
      <c r="E119" s="61"/>
    </row>
    <row r="120" spans="2:8" ht="58.5" customHeight="1" x14ac:dyDescent="0.2">
      <c r="B120" s="104" t="s">
        <v>109</v>
      </c>
      <c r="C120" s="84">
        <f>92931208.37</f>
        <v>92931208.370000005</v>
      </c>
      <c r="D120" s="71">
        <f>0</f>
        <v>0</v>
      </c>
      <c r="E120" s="61"/>
    </row>
    <row r="121" spans="2:8" ht="78.75" x14ac:dyDescent="0.2">
      <c r="B121" s="104" t="s">
        <v>88</v>
      </c>
      <c r="C121" s="84">
        <f>6701931622.54</f>
        <v>6701931622.54</v>
      </c>
      <c r="D121" s="71">
        <f>0</f>
        <v>0</v>
      </c>
      <c r="E121" s="61"/>
    </row>
    <row r="122" spans="2:8" ht="147" customHeight="1" x14ac:dyDescent="0.2">
      <c r="B122" s="104" t="s">
        <v>107</v>
      </c>
      <c r="C122" s="84">
        <f>1515732027.1</f>
        <v>1515732027.0999999</v>
      </c>
      <c r="D122" s="71">
        <f>0</f>
        <v>0</v>
      </c>
      <c r="E122" s="35"/>
    </row>
    <row r="123" spans="2:8" ht="22.5" x14ac:dyDescent="0.2">
      <c r="B123" s="104" t="s">
        <v>108</v>
      </c>
      <c r="C123" s="84">
        <f>3188200</f>
        <v>3188200</v>
      </c>
      <c r="D123" s="71">
        <f>0</f>
        <v>0</v>
      </c>
      <c r="E123" s="35"/>
    </row>
    <row r="124" spans="2:8" x14ac:dyDescent="0.2">
      <c r="B124" s="50"/>
      <c r="C124" s="41"/>
      <c r="D124" s="41"/>
      <c r="E124" s="41"/>
      <c r="F124" s="41"/>
      <c r="G124" s="41"/>
      <c r="H124" s="41"/>
    </row>
    <row r="125" spans="2:8" ht="12" customHeight="1" x14ac:dyDescent="0.2">
      <c r="B125" s="51" t="s">
        <v>71</v>
      </c>
      <c r="C125" s="51">
        <f>2</f>
        <v>2</v>
      </c>
      <c r="D125" s="51" t="str">
        <f>IF(C125=1,"I Kwartał",IF(C125=2,"II Kwartały",IF(C125=3,"III Kwartały",IF(C125=4,"IV Kwartały","-"))))</f>
        <v>II Kwartały</v>
      </c>
    </row>
    <row r="126" spans="2:8" x14ac:dyDescent="0.2">
      <c r="B126" s="51" t="s">
        <v>72</v>
      </c>
      <c r="C126" s="86">
        <f>2022</f>
        <v>2022</v>
      </c>
      <c r="D126" s="50"/>
    </row>
    <row r="127" spans="2:8" x14ac:dyDescent="0.2">
      <c r="B127" s="51" t="s">
        <v>73</v>
      </c>
      <c r="C127" s="123" t="str">
        <f>"Aug 18 2022 12:00AM"</f>
        <v>Aug 18 2022 12:00AM</v>
      </c>
      <c r="D127" s="124"/>
    </row>
    <row r="128" spans="2:8" hidden="1" x14ac:dyDescent="0.2">
      <c r="B128" s="51" t="s">
        <v>76</v>
      </c>
      <c r="C128" s="87" t="str">
        <f>""</f>
        <v/>
      </c>
      <c r="D128" s="50"/>
    </row>
  </sheetData>
  <mergeCells count="20">
    <mergeCell ref="C96:D96"/>
    <mergeCell ref="C114:D114"/>
    <mergeCell ref="E96:F96"/>
    <mergeCell ref="J73:K73"/>
    <mergeCell ref="C127:D127"/>
    <mergeCell ref="I85:J85"/>
    <mergeCell ref="K70:K72"/>
    <mergeCell ref="F71:F72"/>
    <mergeCell ref="F70:H70"/>
    <mergeCell ref="I70:I72"/>
    <mergeCell ref="C73:I73"/>
    <mergeCell ref="G71:H71"/>
    <mergeCell ref="D70:D72"/>
    <mergeCell ref="E70:E72"/>
    <mergeCell ref="B2:B3"/>
    <mergeCell ref="C70:C72"/>
    <mergeCell ref="B70:B73"/>
    <mergeCell ref="J70:J72"/>
    <mergeCell ref="J3:L3"/>
    <mergeCell ref="C3:I3"/>
  </mergeCells>
  <phoneticPr fontId="0" type="noConversion"/>
  <pageMargins left="0.19685039370078741" right="0.19685039370078741" top="0.39370078740157483" bottom="0.39370078740157483" header="0.31496062992125984" footer="0.19685039370078741"/>
  <pageSetup paperSize="9" scale="85" fitToWidth="2" fitToHeight="2" orientation="landscape" useFirstPageNumber="1" r:id="rId1"/>
  <headerFooter alignWithMargins="0">
    <oddFooter>&amp;RStrona &amp;P z &amp;N</oddFooter>
  </headerFooter>
  <rowBreaks count="5" manualBreakCount="5">
    <brk id="22" max="16383" man="1"/>
    <brk id="53" max="12" man="1"/>
    <brk id="67" max="16383" man="1"/>
    <brk id="92" max="16383" man="1"/>
    <brk id="1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2018-03-19T09:19:34Z</cp:lastPrinted>
  <dcterms:created xsi:type="dcterms:W3CDTF">2001-05-17T08:58:03Z</dcterms:created>
  <dcterms:modified xsi:type="dcterms:W3CDTF">2022-08-19T13:20:30Z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MF\HHCY;Kołacz Bernard</vt:lpwstr>
  </property>
  <property fmtid="{D5CDD505-2E9C-101B-9397-08002B2CF9AE}" pid="4" name="MFClassificationDate">
    <vt:lpwstr>2022-06-01T15:12:31.7108919+02:00</vt:lpwstr>
  </property>
  <property fmtid="{D5CDD505-2E9C-101B-9397-08002B2CF9AE}" pid="5" name="MFClassifiedBySID">
    <vt:lpwstr>MF\S-1-5-21-1525952054-1005573771-2909822258-435687</vt:lpwstr>
  </property>
  <property fmtid="{D5CDD505-2E9C-101B-9397-08002B2CF9AE}" pid="6" name="MFGRNItemId">
    <vt:lpwstr>GRN-2cd18ff7-932d-4776-b890-6d741b929fdc</vt:lpwstr>
  </property>
  <property fmtid="{D5CDD505-2E9C-101B-9397-08002B2CF9AE}" pid="7" name="MFHash">
    <vt:lpwstr>OTgls01WM3N6lxmUY94TawYv0KG6fXLBz/RcoeeeVtg=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