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'doch_wyd'!$A$1:$M$118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<sst xmlns="http://schemas.openxmlformats.org/spreadsheetml/2006/main" count="321" uniqueCount="111">
  <si>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</si>
  <si>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</si>
  <si>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</si>
  <si>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</si>
  <si>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</si>
  <si>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</si>
  <si>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</si>
  <si>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</si>
  <si>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</si>
  <si>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</si>
  <si>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</si>
  <si>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</si>
  <si>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</si>
  <si>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</si>
  <si>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</si>
  <si>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</si>
  <si>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</si>
  <si>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</si>
  <si>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</si>
  <si>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</si>
  <si>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</si>
  <si>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</si>
  <si>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</si>
  <si>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</si>
  <si>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</si>
  <si>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</si>
  <si>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</si>
  <si>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</si>
  <si>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</si>
  <si>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</si>
  <si>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</si>
  <si>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</si>
  <si>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</si>
  <si>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</si>
  <si>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</si>
  <si>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</si>
  <si>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</si>
  <si>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</si>
  <si>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</si>
  <si>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</si>
  <si>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</si>
  <si>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</si>
  <si>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</si>
  <si>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</si>
  <si>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</si>
  <si>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</si>
  <si>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</si>
  <si>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</si>
  <si>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</si>
  <si>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</si>
  <si>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</si>
  <si>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</si>
  <si>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</si>
  <si>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</si>
  <si>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</si>
  <si>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</si>
  <si>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</si>
  <si>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</si>
  <si>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</si>
  <si>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</si>
  <si>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</si>
  <si>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</si>
  <si>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</si>
  <si>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</si>
  <si>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</si>
  <si>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</si>
  <si>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</si>
  <si>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</si>
  <si>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</si>
  <si>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</si>
  <si>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</si>
  <si>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</si>
  <si>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</si>
  <si>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</si>
  <si>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</si>
  <si>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</si>
  <si>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z tego:</t>
  </si>
  <si>
    <t>świadczenia na rzecz osób fizycznych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</si>
  <si>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</si>
  <si>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</si>
  <si>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</si>
  <si>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</si>
  <si>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</si>
  <si>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</si>
  <si>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</si>
  <si>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</si>
  <si>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</si>
  <si>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</si>
  <si>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</si>
  <si>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</si>
  <si>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</si>
  <si>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</si>
  <si>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</si>
  <si>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</si>
  <si>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</si>
  <si>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</si>
  <si>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</si>
  <si>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</si>
  <si>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</si>
  <si>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</si>
  <si>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</si>
  <si>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</si>
  <si>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</si>
  <si>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</si>
  <si>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</si>
  <si>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</si>
  <si>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</si>
  <si>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</si>
  <si>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wydatki na wynagrodzenia i pochodne od wynagrodzeń</t>
  </si>
  <si>
    <t>niewykorzystane środki pieniężne o których mowa w art.217 ust.2 pkt.8 ustawy o finansach publicznych</t>
  </si>
  <si>
    <t xml:space="preserve">Informacja z wykonania budżetów miast na prawach powiatu za IV Kwartały 2020 rok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</si>
</sst>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19">
    <xf numFmtId="0" fontId="0" fillId="0" borderId="0" xfId="0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50" borderId="19" xfId="0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/>
    </xf>
    <xf numFmtId="164" fontId="33" fillId="5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/>
    </xf>
    <xf numFmtId="4" fontId="34" fillId="50" borderId="19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13" fillId="40" borderId="19" xfId="0" applyFont="1" applyFill="1" applyBorder="1" applyAlignment="1" quotePrefix="1">
      <alignment horizontal="center" vertical="center" wrapText="1"/>
    </xf>
    <xf numFmtId="4" fontId="35" fillId="0" borderId="19" xfId="0" applyNumberFormat="1" applyFont="1" applyBorder="1" applyAlignment="1">
      <alignment horizontal="center" vertical="center"/>
    </xf>
    <xf numFmtId="0" fontId="13" fillId="50" borderId="19" xfId="0" applyFont="1" applyFill="1" applyBorder="1" applyAlignment="1" quotePrefix="1">
      <alignment horizontal="center" vertical="center" wrapText="1"/>
    </xf>
    <xf numFmtId="164" fontId="34" fillId="40" borderId="19" xfId="0" applyNumberFormat="1" applyFont="1" applyFill="1" applyBorder="1" applyAlignment="1">
      <alignment horizontal="center" vertical="center"/>
    </xf>
    <xf numFmtId="0" fontId="5" fillId="51" borderId="19" xfId="0" applyFont="1" applyFill="1" applyBorder="1" applyAlignment="1">
      <alignment horizontal="center" vertical="center" wrapText="1"/>
    </xf>
    <xf numFmtId="4" fontId="34" fillId="51" borderId="19" xfId="0" applyNumberFormat="1" applyFont="1" applyFill="1" applyBorder="1" applyAlignment="1">
      <alignment horizontal="center" vertical="center"/>
    </xf>
    <xf numFmtId="164" fontId="34" fillId="51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3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36" fillId="50" borderId="19" xfId="0" applyNumberFormat="1" applyFont="1" applyFill="1" applyBorder="1" applyAlignment="1">
      <alignment horizontal="center" vertical="center"/>
    </xf>
    <xf numFmtId="164" fontId="36" fillId="5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 wrapText="1"/>
    </xf>
    <xf numFmtId="164" fontId="35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4" fontId="34" fillId="50" borderId="21" xfId="0" applyNumberFormat="1" applyFont="1" applyFill="1" applyBorder="1" applyAlignment="1">
      <alignment horizontal="center" vertical="center" wrapText="1"/>
    </xf>
    <xf numFmtId="4" fontId="34" fillId="5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center" vertical="center" wrapText="1"/>
    </xf>
    <xf numFmtId="164" fontId="36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 vertical="top" wrapText="1"/>
    </xf>
    <xf numFmtId="4" fontId="36" fillId="40" borderId="20" xfId="0" applyNumberFormat="1" applyFont="1" applyFill="1" applyBorder="1" applyAlignment="1">
      <alignment horizontal="center" vertical="center"/>
    </xf>
    <xf numFmtId="4" fontId="36" fillId="40" borderId="21" xfId="0" applyNumberFormat="1" applyFont="1" applyFill="1" applyBorder="1" applyAlignment="1">
      <alignment horizontal="center" vertical="center"/>
    </xf>
    <xf numFmtId="164" fontId="36" fillId="40" borderId="19" xfId="7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4" fontId="35" fillId="0" borderId="20" xfId="0" applyNumberFormat="1" applyFont="1" applyBorder="1" applyAlignment="1">
      <alignment horizontal="center" vertical="center"/>
    </xf>
    <xf numFmtId="4" fontId="35" fillId="0" borderId="21" xfId="0" applyNumberFormat="1" applyFont="1" applyBorder="1" applyAlignment="1">
      <alignment horizontal="center" vertical="center"/>
    </xf>
    <xf numFmtId="164" fontId="36" fillId="51" borderId="19" xfId="71" applyNumberFormat="1" applyFont="1" applyFill="1" applyBorder="1" applyAlignment="1">
      <alignment horizontal="center" vertical="center"/>
    </xf>
    <xf numFmtId="164" fontId="36" fillId="51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4" fontId="35" fillId="0" borderId="20" xfId="0" applyNumberFormat="1" applyFont="1" applyFill="1" applyBorder="1" applyAlignment="1">
      <alignment horizontal="center" vertical="center"/>
    </xf>
    <xf numFmtId="4" fontId="35" fillId="0" borderId="21" xfId="0" applyNumberFormat="1" applyFont="1" applyFill="1" applyBorder="1" applyAlignment="1">
      <alignment horizontal="center" vertical="center"/>
    </xf>
    <xf numFmtId="164" fontId="36" fillId="0" borderId="19" xfId="71" applyNumberFormat="1" applyFont="1" applyFill="1" applyBorder="1" applyAlignment="1">
      <alignment horizontal="center" vertical="center"/>
    </xf>
    <xf numFmtId="0" fontId="12" fillId="50" borderId="19" xfId="0" applyFont="1" applyFill="1" applyBorder="1" applyAlignment="1">
      <alignment horizontal="center" vertical="top" wrapText="1"/>
    </xf>
    <xf numFmtId="4" fontId="36" fillId="50" borderId="20" xfId="0" applyNumberFormat="1" applyFont="1" applyFill="1" applyBorder="1" applyAlignment="1">
      <alignment horizontal="center" vertical="center"/>
    </xf>
    <xf numFmtId="4" fontId="36" fillId="50" borderId="21" xfId="0" applyNumberFormat="1" applyFont="1" applyFill="1" applyBorder="1" applyAlignment="1">
      <alignment horizontal="center" vertical="center"/>
    </xf>
    <xf numFmtId="164" fontId="36" fillId="50" borderId="19" xfId="71" applyNumberFormat="1" applyFont="1" applyFill="1" applyBorder="1" applyAlignment="1">
      <alignment horizontal="center" vertical="center"/>
    </xf>
    <xf numFmtId="0" fontId="55" fillId="0" borderId="19" xfId="89" applyFont="1" applyFill="1" applyBorder="1" applyAlignment="1">
      <alignment horizontal="center" vertical="top" wrapText="1"/>
      <protection/>
    </xf>
    <xf numFmtId="4" fontId="36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6" fillId="50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8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20" hidden="1" customWidth="1"/>
    <col min="2" max="2" width="22.875" style="20" customWidth="1"/>
    <col min="3" max="5" width="14.625" style="20" customWidth="1"/>
    <col min="6" max="6" width="13.875" style="20" customWidth="1"/>
    <col min="7" max="7" width="13.00390625" style="20" customWidth="1"/>
    <col min="8" max="9" width="12.25390625" style="20" customWidth="1"/>
    <col min="10" max="10" width="13.00390625" style="20" customWidth="1"/>
    <col min="11" max="11" width="7.375" style="20" customWidth="1"/>
    <col min="12" max="12" width="7.25390625" style="20" customWidth="1"/>
    <col min="13" max="13" width="8.125" style="20" customWidth="1"/>
    <col min="14" max="16384" width="9.125" style="20" customWidth="1"/>
  </cols>
  <sheetData>
    <row r="1" spans="2:13" ht="27.75" customHeight="1">
      <c r="B1" s="95" t="s">
        <v>110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3" ht="63" customHeight="1">
      <c r="B2" s="117" t="s">
        <v>0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2</v>
      </c>
      <c r="L2" s="5" t="s">
        <v>18</v>
      </c>
      <c r="M2" s="5" t="s">
        <v>3</v>
      </c>
    </row>
    <row r="3" spans="2:13" ht="12.75">
      <c r="B3" s="117"/>
      <c r="C3" s="94" t="s">
        <v>84</v>
      </c>
      <c r="D3" s="94"/>
      <c r="E3" s="94"/>
      <c r="F3" s="94"/>
      <c r="G3" s="94"/>
      <c r="H3" s="94"/>
      <c r="I3" s="94"/>
      <c r="J3" s="94"/>
      <c r="K3" s="94" t="s">
        <v>4</v>
      </c>
      <c r="L3" s="94"/>
      <c r="M3" s="94"/>
    </row>
    <row r="4" spans="2:13" ht="12.75">
      <c r="B4" s="6">
        <v>1</v>
      </c>
      <c r="C4" s="8">
        <v>2</v>
      </c>
      <c r="D4" s="8">
        <v>3</v>
      </c>
      <c r="E4" s="8">
        <v>4</v>
      </c>
      <c r="F4" s="6">
        <v>5</v>
      </c>
      <c r="G4" s="8">
        <v>6</v>
      </c>
      <c r="H4" s="6">
        <v>7</v>
      </c>
      <c r="I4" s="8">
        <v>8</v>
      </c>
      <c r="J4" s="6">
        <v>9</v>
      </c>
      <c r="K4" s="8">
        <v>10</v>
      </c>
      <c r="L4" s="6">
        <v>11</v>
      </c>
      <c r="M4" s="8">
        <v>12</v>
      </c>
    </row>
    <row r="5" spans="2:13" ht="12.75">
      <c r="B5" s="21" t="s">
        <v>5</v>
      </c>
      <c r="C5" s="22">
        <f>100747828795.61</f>
        <v>100747828795.61</v>
      </c>
      <c r="D5" s="22">
        <f>100314429260.47</f>
        <v>100314429260.47</v>
      </c>
      <c r="E5" s="22">
        <f>100324626387.19</f>
        <v>100324626387.19</v>
      </c>
      <c r="F5" s="22">
        <f>459988606.71</f>
        <v>459988606.71</v>
      </c>
      <c r="G5" s="22">
        <f>148979698.18</f>
        <v>148979698.18</v>
      </c>
      <c r="H5" s="22">
        <f>28187215.97</f>
        <v>28187215.97</v>
      </c>
      <c r="I5" s="22">
        <f>100235463.64</f>
        <v>100235463.64</v>
      </c>
      <c r="J5" s="22">
        <f>7595514.94</f>
        <v>7595514.94</v>
      </c>
      <c r="K5" s="23">
        <f aca="true" t="shared" si="0" ref="K5:K63">IF($D$5=0,"",100*$D5/$D$5)</f>
        <v>100</v>
      </c>
      <c r="L5" s="23">
        <f aca="true" t="shared" si="1" ref="L5:L63">IF(C5=0,"",100*D5/C5)</f>
        <v>99.56981749351715</v>
      </c>
      <c r="M5" s="23"/>
    </row>
    <row r="6" spans="2:13" ht="25.5" customHeight="1">
      <c r="B6" s="21" t="s">
        <v>64</v>
      </c>
      <c r="C6" s="22">
        <f>C5-C23-C50</f>
        <v>55437619120.53999</v>
      </c>
      <c r="D6" s="22">
        <f>D5-D23-D50</f>
        <v>56075154788.57001</v>
      </c>
      <c r="E6" s="22">
        <f>E5-E23-E50</f>
        <v>56004151375.369995</v>
      </c>
      <c r="F6" s="22">
        <f>F5</f>
        <v>459988606.71</v>
      </c>
      <c r="G6" s="22">
        <f>G5</f>
        <v>148979698.18</v>
      </c>
      <c r="H6" s="22">
        <f>H5</f>
        <v>28187215.97</v>
      </c>
      <c r="I6" s="22">
        <f>I5</f>
        <v>100235463.64</v>
      </c>
      <c r="J6" s="22">
        <f>J5</f>
        <v>7595514.94</v>
      </c>
      <c r="K6" s="23">
        <f t="shared" si="0"/>
        <v>55.89939074763498</v>
      </c>
      <c r="L6" s="23">
        <f t="shared" si="1"/>
        <v>101.15000549833101</v>
      </c>
      <c r="M6" s="23">
        <f aca="true" t="shared" si="2" ref="M6:M22">IF($D$6=0,"",100*$D6/$D$6)</f>
        <v>100</v>
      </c>
    </row>
    <row r="7" spans="2:13" ht="33.75">
      <c r="B7" s="24" t="s">
        <v>65</v>
      </c>
      <c r="C7" s="25">
        <f>1903906853.37</f>
        <v>1903906853.37</v>
      </c>
      <c r="D7" s="25">
        <f>2155723753.79</f>
        <v>2155723753.79</v>
      </c>
      <c r="E7" s="25">
        <f>2237785411.31</f>
        <v>2237785411.31</v>
      </c>
      <c r="F7" s="25">
        <f>0</f>
        <v>0</v>
      </c>
      <c r="G7" s="25">
        <f>0</f>
        <v>0</v>
      </c>
      <c r="H7" s="25">
        <f>0</f>
        <v>0</v>
      </c>
      <c r="I7" s="25">
        <f>0</f>
        <v>0</v>
      </c>
      <c r="J7" s="25">
        <f>0</f>
        <v>0</v>
      </c>
      <c r="K7" s="26">
        <f t="shared" si="0"/>
        <v>2.1489667734564746</v>
      </c>
      <c r="L7" s="26">
        <f t="shared" si="1"/>
        <v>113.2263245953589</v>
      </c>
      <c r="M7" s="26">
        <f t="shared" si="2"/>
        <v>3.8443473975561964</v>
      </c>
    </row>
    <row r="8" spans="2:13" ht="33.75">
      <c r="B8" s="27" t="s">
        <v>66</v>
      </c>
      <c r="C8" s="28">
        <f>506183033.69</f>
        <v>506183033.69</v>
      </c>
      <c r="D8" s="28">
        <f>449454886.09</f>
        <v>449454886.09</v>
      </c>
      <c r="E8" s="28">
        <f>449861384.03</f>
        <v>449861384.03</v>
      </c>
      <c r="F8" s="28">
        <f>0</f>
        <v>0</v>
      </c>
      <c r="G8" s="28">
        <f>0</f>
        <v>0</v>
      </c>
      <c r="H8" s="28">
        <f>0</f>
        <v>0</v>
      </c>
      <c r="I8" s="28">
        <f>0</f>
        <v>0</v>
      </c>
      <c r="J8" s="28">
        <f>0</f>
        <v>0</v>
      </c>
      <c r="K8" s="26">
        <f t="shared" si="0"/>
        <v>0.4480460980573137</v>
      </c>
      <c r="L8" s="26">
        <f t="shared" si="1"/>
        <v>88.79295752240841</v>
      </c>
      <c r="M8" s="26">
        <f t="shared" si="2"/>
        <v>0.8015223279983062</v>
      </c>
    </row>
    <row r="9" spans="2:13" ht="33.75">
      <c r="B9" s="27" t="s">
        <v>67</v>
      </c>
      <c r="C9" s="28">
        <f>18811900666.63</f>
        <v>18811900666.63</v>
      </c>
      <c r="D9" s="28">
        <f>19046505051</f>
        <v>19046505051</v>
      </c>
      <c r="E9" s="28">
        <f>18834401251</f>
        <v>18834401251</v>
      </c>
      <c r="F9" s="28">
        <f>0</f>
        <v>0</v>
      </c>
      <c r="G9" s="28">
        <f>0</f>
        <v>0</v>
      </c>
      <c r="H9" s="28">
        <f>0</f>
        <v>0</v>
      </c>
      <c r="I9" s="28">
        <f>0</f>
        <v>0</v>
      </c>
      <c r="J9" s="28">
        <f>0</f>
        <v>0</v>
      </c>
      <c r="K9" s="26">
        <f t="shared" si="0"/>
        <v>18.986804980512893</v>
      </c>
      <c r="L9" s="26">
        <f t="shared" si="1"/>
        <v>101.24710622561471</v>
      </c>
      <c r="M9" s="26">
        <f t="shared" si="2"/>
        <v>33.9660320561118</v>
      </c>
    </row>
    <row r="10" spans="2:13" ht="33.75">
      <c r="B10" s="27" t="s">
        <v>68</v>
      </c>
      <c r="C10" s="28">
        <f>5062763755.67</f>
        <v>5062763755.67</v>
      </c>
      <c r="D10" s="28">
        <f>5115897213</f>
        <v>5115897213</v>
      </c>
      <c r="E10" s="28">
        <f>5082027356</f>
        <v>5082027356</v>
      </c>
      <c r="F10" s="28">
        <f>0</f>
        <v>0</v>
      </c>
      <c r="G10" s="28">
        <f>0</f>
        <v>0</v>
      </c>
      <c r="H10" s="28">
        <f>0</f>
        <v>0</v>
      </c>
      <c r="I10" s="28">
        <f>0</f>
        <v>0</v>
      </c>
      <c r="J10" s="28">
        <f>0</f>
        <v>0</v>
      </c>
      <c r="K10" s="26">
        <f t="shared" si="0"/>
        <v>5.099861755397511</v>
      </c>
      <c r="L10" s="26">
        <f t="shared" si="1"/>
        <v>101.0494950958455</v>
      </c>
      <c r="M10" s="26">
        <f t="shared" si="2"/>
        <v>9.12328683226888</v>
      </c>
    </row>
    <row r="11" spans="2:13" ht="12.75">
      <c r="B11" s="27" t="s">
        <v>19</v>
      </c>
      <c r="C11" s="28">
        <f>21885886.29</f>
        <v>21885886.29</v>
      </c>
      <c r="D11" s="28">
        <f>21652691.61</f>
        <v>21652691.61</v>
      </c>
      <c r="E11" s="28">
        <f>21652490.49</f>
        <v>21652490.49</v>
      </c>
      <c r="F11" s="28">
        <f>624110.04</f>
        <v>624110.04</v>
      </c>
      <c r="G11" s="28">
        <f>7713.51</f>
        <v>7713.51</v>
      </c>
      <c r="H11" s="28">
        <f>18227.5</f>
        <v>18227.5</v>
      </c>
      <c r="I11" s="28">
        <f>80237.25</f>
        <v>80237.25</v>
      </c>
      <c r="J11" s="28">
        <f>93</f>
        <v>93</v>
      </c>
      <c r="K11" s="26">
        <f t="shared" si="0"/>
        <v>0.02158482261188768</v>
      </c>
      <c r="L11" s="26">
        <f t="shared" si="1"/>
        <v>98.93449743405388</v>
      </c>
      <c r="M11" s="26">
        <f t="shared" si="2"/>
        <v>0.0386136992249793</v>
      </c>
    </row>
    <row r="12" spans="2:13" ht="12.75">
      <c r="B12" s="27" t="s">
        <v>20</v>
      </c>
      <c r="C12" s="28">
        <f>9218111027.98</f>
        <v>9218111027.98</v>
      </c>
      <c r="D12" s="29">
        <f>9226681869.42</f>
        <v>9226681869.42</v>
      </c>
      <c r="E12" s="28">
        <f>9226612185.81</f>
        <v>9226612185.81</v>
      </c>
      <c r="F12" s="28">
        <f>200999150.71</f>
        <v>200999150.71</v>
      </c>
      <c r="G12" s="28">
        <f>145007887.01</f>
        <v>145007887.01</v>
      </c>
      <c r="H12" s="28">
        <f>25266117.1</f>
        <v>25266117.1</v>
      </c>
      <c r="I12" s="28">
        <f>85581116.42</f>
        <v>85581116.42</v>
      </c>
      <c r="J12" s="28">
        <f>6273400.83</f>
        <v>6273400.83</v>
      </c>
      <c r="K12" s="26">
        <f t="shared" si="0"/>
        <v>9.197761416219187</v>
      </c>
      <c r="L12" s="26">
        <f t="shared" si="1"/>
        <v>100.09297828388034</v>
      </c>
      <c r="M12" s="26">
        <f t="shared" si="2"/>
        <v>16.45413535496955</v>
      </c>
    </row>
    <row r="13" spans="2:13" ht="12.75">
      <c r="B13" s="27" t="s">
        <v>21</v>
      </c>
      <c r="C13" s="28">
        <f>4595919</f>
        <v>4595919</v>
      </c>
      <c r="D13" s="29">
        <f>4577997.71</f>
        <v>4577997.71</v>
      </c>
      <c r="E13" s="28">
        <f>4577999.7</f>
        <v>4577999.7</v>
      </c>
      <c r="F13" s="28">
        <f>0</f>
        <v>0</v>
      </c>
      <c r="G13" s="28">
        <f>22277.31</f>
        <v>22277.31</v>
      </c>
      <c r="H13" s="28">
        <f>1523.96</f>
        <v>1523.96</v>
      </c>
      <c r="I13" s="28">
        <f>383.99</f>
        <v>383.99</v>
      </c>
      <c r="J13" s="28">
        <f>0</f>
        <v>0</v>
      </c>
      <c r="K13" s="26">
        <f t="shared" si="0"/>
        <v>0.004563648264511445</v>
      </c>
      <c r="L13" s="26">
        <f t="shared" si="1"/>
        <v>99.6100607952403</v>
      </c>
      <c r="M13" s="26">
        <f t="shared" si="2"/>
        <v>0.008164039363353035</v>
      </c>
    </row>
    <row r="14" spans="2:13" ht="22.5">
      <c r="B14" s="27" t="s">
        <v>22</v>
      </c>
      <c r="C14" s="28">
        <f>341201233</f>
        <v>341201233</v>
      </c>
      <c r="D14" s="29">
        <f>347092350.51</f>
        <v>347092350.51</v>
      </c>
      <c r="E14" s="28">
        <f>347095199.99</f>
        <v>347095199.99</v>
      </c>
      <c r="F14" s="28">
        <f>258002873.41</f>
        <v>258002873.41</v>
      </c>
      <c r="G14" s="28">
        <f>97473.92</f>
        <v>97473.92</v>
      </c>
      <c r="H14" s="28">
        <f>422137.8</f>
        <v>422137.8</v>
      </c>
      <c r="I14" s="28">
        <f>803794.49</f>
        <v>803794.49</v>
      </c>
      <c r="J14" s="28">
        <f>0</f>
        <v>0</v>
      </c>
      <c r="K14" s="26">
        <f t="shared" si="0"/>
        <v>0.34600441139804755</v>
      </c>
      <c r="L14" s="26">
        <f t="shared" si="1"/>
        <v>101.72658154198405</v>
      </c>
      <c r="M14" s="26">
        <f t="shared" si="2"/>
        <v>0.6189770707164397</v>
      </c>
    </row>
    <row r="15" spans="2:13" ht="33.75">
      <c r="B15" s="27" t="s">
        <v>41</v>
      </c>
      <c r="C15" s="28">
        <f>26775183.67</f>
        <v>26775183.67</v>
      </c>
      <c r="D15" s="29">
        <f>30283795.03</f>
        <v>30283795.03</v>
      </c>
      <c r="E15" s="28">
        <f>30527812.31</f>
        <v>30527812.31</v>
      </c>
      <c r="F15" s="28">
        <f>0</f>
        <v>0</v>
      </c>
      <c r="G15" s="28">
        <f>0</f>
        <v>0</v>
      </c>
      <c r="H15" s="28">
        <f>36523.95</f>
        <v>36523.95</v>
      </c>
      <c r="I15" s="28">
        <f>426459.21</f>
        <v>426459.21</v>
      </c>
      <c r="J15" s="28">
        <f>0</f>
        <v>0</v>
      </c>
      <c r="K15" s="26">
        <f t="shared" si="0"/>
        <v>0.030188872381825594</v>
      </c>
      <c r="L15" s="26">
        <f t="shared" si="1"/>
        <v>113.10396747691105</v>
      </c>
      <c r="M15" s="26">
        <f t="shared" si="2"/>
        <v>0.05400572703576888</v>
      </c>
    </row>
    <row r="16" spans="2:13" ht="22.5" customHeight="1">
      <c r="B16" s="27" t="s">
        <v>27</v>
      </c>
      <c r="C16" s="28">
        <f>152283083.89</f>
        <v>152283083.89</v>
      </c>
      <c r="D16" s="29">
        <f>171079733.76</f>
        <v>171079733.76</v>
      </c>
      <c r="E16" s="28">
        <f>171462642.67</f>
        <v>171462642.67</v>
      </c>
      <c r="F16" s="28">
        <f>0</f>
        <v>0</v>
      </c>
      <c r="G16" s="28">
        <f>0</f>
        <v>0</v>
      </c>
      <c r="H16" s="28">
        <f>868198.1</f>
        <v>868198.1</v>
      </c>
      <c r="I16" s="28">
        <f>4984079.37</f>
        <v>4984079.37</v>
      </c>
      <c r="J16" s="28">
        <f>0</f>
        <v>0</v>
      </c>
      <c r="K16" s="26">
        <f t="shared" si="0"/>
        <v>0.17054349510954736</v>
      </c>
      <c r="L16" s="26">
        <f t="shared" si="1"/>
        <v>112.34322906382535</v>
      </c>
      <c r="M16" s="26">
        <f t="shared" si="2"/>
        <v>0.30509007849385694</v>
      </c>
    </row>
    <row r="17" spans="2:13" ht="22.5" customHeight="1">
      <c r="B17" s="27" t="s">
        <v>28</v>
      </c>
      <c r="C17" s="28">
        <f>1432711054.7</f>
        <v>1432711054.7</v>
      </c>
      <c r="D17" s="29">
        <f>1590781025.68</f>
        <v>1590781025.68</v>
      </c>
      <c r="E17" s="28">
        <f>1592816466.4</f>
        <v>1592816466.4</v>
      </c>
      <c r="F17" s="28">
        <f>0</f>
        <v>0</v>
      </c>
      <c r="G17" s="28">
        <f>0</f>
        <v>0</v>
      </c>
      <c r="H17" s="28">
        <f>16558</f>
        <v>16558</v>
      </c>
      <c r="I17" s="28">
        <f>347695.71</f>
        <v>347695.71</v>
      </c>
      <c r="J17" s="28">
        <f>0</f>
        <v>0</v>
      </c>
      <c r="K17" s="26">
        <f t="shared" si="0"/>
        <v>1.5857948227462673</v>
      </c>
      <c r="L17" s="26">
        <f t="shared" si="1"/>
        <v>111.03292743232855</v>
      </c>
      <c r="M17" s="26">
        <f t="shared" si="2"/>
        <v>2.836873177930584</v>
      </c>
    </row>
    <row r="18" spans="2:13" ht="12.75">
      <c r="B18" s="27" t="s">
        <v>55</v>
      </c>
      <c r="C18" s="28">
        <f>298836549.1</f>
        <v>298836549.1</v>
      </c>
      <c r="D18" s="29">
        <f>312002209.51</f>
        <v>312002209.51</v>
      </c>
      <c r="E18" s="28">
        <f>311980460.57</f>
        <v>311980460.57</v>
      </c>
      <c r="F18" s="28">
        <f>0</f>
        <v>0</v>
      </c>
      <c r="G18" s="28">
        <f>0</f>
        <v>0</v>
      </c>
      <c r="H18" s="28">
        <f>7099</f>
        <v>7099</v>
      </c>
      <c r="I18" s="28">
        <f>66</f>
        <v>66</v>
      </c>
      <c r="J18" s="28">
        <f>0</f>
        <v>0</v>
      </c>
      <c r="K18" s="26">
        <f t="shared" si="0"/>
        <v>0.31102425823494956</v>
      </c>
      <c r="L18" s="26">
        <f t="shared" si="1"/>
        <v>104.40563928664373</v>
      </c>
      <c r="M18" s="26">
        <f t="shared" si="2"/>
        <v>0.5564000860744774</v>
      </c>
    </row>
    <row r="19" spans="2:13" ht="12.75">
      <c r="B19" s="27" t="s">
        <v>56</v>
      </c>
      <c r="C19" s="28">
        <f>9451516.49</f>
        <v>9451516.49</v>
      </c>
      <c r="D19" s="29">
        <f>9982798.44</f>
        <v>9982798.44</v>
      </c>
      <c r="E19" s="28">
        <f>9982798.44</f>
        <v>9982798.44</v>
      </c>
      <c r="F19" s="28">
        <f>0</f>
        <v>0</v>
      </c>
      <c r="G19" s="28">
        <f>0</f>
        <v>0</v>
      </c>
      <c r="H19" s="28">
        <f>0</f>
        <v>0</v>
      </c>
      <c r="I19" s="28">
        <f>0</f>
        <v>0</v>
      </c>
      <c r="J19" s="28">
        <f>0</f>
        <v>0</v>
      </c>
      <c r="K19" s="26">
        <f t="shared" si="0"/>
        <v>0.009951507987030766</v>
      </c>
      <c r="L19" s="26">
        <f t="shared" si="1"/>
        <v>105.62112916548485</v>
      </c>
      <c r="M19" s="26">
        <f t="shared" si="2"/>
        <v>0.017802533898729118</v>
      </c>
    </row>
    <row r="20" spans="2:13" ht="12.75">
      <c r="B20" s="27" t="s">
        <v>57</v>
      </c>
      <c r="C20" s="28">
        <f>19448051</f>
        <v>19448051</v>
      </c>
      <c r="D20" s="29">
        <f>17642786</f>
        <v>17642786</v>
      </c>
      <c r="E20" s="28">
        <f>17642786</f>
        <v>17642786</v>
      </c>
      <c r="F20" s="28">
        <f>0</f>
        <v>0</v>
      </c>
      <c r="G20" s="28">
        <f>0</f>
        <v>0</v>
      </c>
      <c r="H20" s="28">
        <f>26</f>
        <v>26</v>
      </c>
      <c r="I20" s="28">
        <f>24411.8</f>
        <v>24411.8</v>
      </c>
      <c r="J20" s="28">
        <f>0</f>
        <v>0</v>
      </c>
      <c r="K20" s="26">
        <f t="shared" si="0"/>
        <v>0.017587485798468607</v>
      </c>
      <c r="L20" s="26">
        <f t="shared" si="1"/>
        <v>90.71750171778139</v>
      </c>
      <c r="M20" s="26">
        <f t="shared" si="2"/>
        <v>0.031462750422217634</v>
      </c>
    </row>
    <row r="21" spans="2:13" ht="12.75">
      <c r="B21" s="27" t="s">
        <v>23</v>
      </c>
      <c r="C21" s="28">
        <f>4208563009.56</f>
        <v>4208563009.56</v>
      </c>
      <c r="D21" s="29">
        <f>4061242302.85</f>
        <v>4061242302.85</v>
      </c>
      <c r="E21" s="28">
        <f>4056684853.81</f>
        <v>4056684853.81</v>
      </c>
      <c r="F21" s="28">
        <f>0</f>
        <v>0</v>
      </c>
      <c r="G21" s="28">
        <f>0</f>
        <v>0</v>
      </c>
      <c r="H21" s="28">
        <f>0</f>
        <v>0</v>
      </c>
      <c r="I21" s="28">
        <f>0</f>
        <v>0</v>
      </c>
      <c r="J21" s="28">
        <f>0</f>
        <v>0</v>
      </c>
      <c r="K21" s="26">
        <f t="shared" si="0"/>
        <v>4.048512594638643</v>
      </c>
      <c r="L21" s="26">
        <f t="shared" si="1"/>
        <v>96.49950098465077</v>
      </c>
      <c r="M21" s="26">
        <f t="shared" si="2"/>
        <v>7.242498604172943</v>
      </c>
    </row>
    <row r="22" spans="2:13" ht="13.5" customHeight="1">
      <c r="B22" s="27" t="s">
        <v>24</v>
      </c>
      <c r="C22" s="28">
        <f>C6-SUM(C7:C21)</f>
        <v>13419002296.5</v>
      </c>
      <c r="D22" s="28">
        <f aca="true" t="shared" si="3" ref="D22:J22">D6-SUM(D7:D21)</f>
        <v>13514554324.169998</v>
      </c>
      <c r="E22" s="28">
        <f t="shared" si="3"/>
        <v>13609040276.840004</v>
      </c>
      <c r="F22" s="28">
        <f t="shared" si="3"/>
        <v>362472.5500000119</v>
      </c>
      <c r="G22" s="28">
        <f t="shared" si="3"/>
        <v>3844346.430000037</v>
      </c>
      <c r="H22" s="28">
        <f t="shared" si="3"/>
        <v>1550804.559999995</v>
      </c>
      <c r="I22" s="28">
        <f t="shared" si="3"/>
        <v>7987219.400000021</v>
      </c>
      <c r="J22" s="28">
        <f t="shared" si="3"/>
        <v>1322021.1100000003</v>
      </c>
      <c r="K22" s="26">
        <f t="shared" si="0"/>
        <v>13.472193804820416</v>
      </c>
      <c r="L22" s="26">
        <f t="shared" si="1"/>
        <v>100.71206506682631</v>
      </c>
      <c r="M22" s="26">
        <f t="shared" si="2"/>
        <v>24.100788263761896</v>
      </c>
    </row>
    <row r="23" spans="2:13" ht="26.25" customHeight="1">
      <c r="B23" s="21" t="s">
        <v>76</v>
      </c>
      <c r="C23" s="22">
        <f>C24+C46+C48</f>
        <v>26514874486.070004</v>
      </c>
      <c r="D23" s="22">
        <f>D24+D46+D48</f>
        <v>25447767081.899998</v>
      </c>
      <c r="E23" s="22">
        <f>E24+E46+E48</f>
        <v>25501622720.82</v>
      </c>
      <c r="F23" s="30" t="s">
        <v>63</v>
      </c>
      <c r="G23" s="30" t="s">
        <v>63</v>
      </c>
      <c r="H23" s="30" t="s">
        <v>63</v>
      </c>
      <c r="I23" s="30" t="s">
        <v>63</v>
      </c>
      <c r="J23" s="30" t="s">
        <v>63</v>
      </c>
      <c r="K23" s="23">
        <f t="shared" si="0"/>
        <v>25.3680026587441</v>
      </c>
      <c r="L23" s="23">
        <f t="shared" si="1"/>
        <v>95.97543859869816</v>
      </c>
      <c r="M23" s="31"/>
    </row>
    <row r="24" spans="2:13" ht="25.5" customHeight="1">
      <c r="B24" s="21" t="s">
        <v>69</v>
      </c>
      <c r="C24" s="22">
        <f>C25+C32+C39</f>
        <v>20941207235.81</v>
      </c>
      <c r="D24" s="22">
        <f>D25+D32+D39</f>
        <v>20706395775.87</v>
      </c>
      <c r="E24" s="22">
        <f>E25+E32+E39</f>
        <v>20758605737.71</v>
      </c>
      <c r="F24" s="30" t="s">
        <v>63</v>
      </c>
      <c r="G24" s="30" t="s">
        <v>63</v>
      </c>
      <c r="H24" s="30" t="s">
        <v>63</v>
      </c>
      <c r="I24" s="30" t="s">
        <v>63</v>
      </c>
      <c r="J24" s="30" t="s">
        <v>63</v>
      </c>
      <c r="K24" s="23">
        <f t="shared" si="0"/>
        <v>20.641492882449747</v>
      </c>
      <c r="L24" s="23">
        <f t="shared" si="1"/>
        <v>98.87871096782582</v>
      </c>
      <c r="M24" s="32"/>
    </row>
    <row r="25" spans="2:13" ht="13.5" customHeight="1">
      <c r="B25" s="33" t="s">
        <v>58</v>
      </c>
      <c r="C25" s="22">
        <f>C26+C28+C30</f>
        <v>17939316551.49</v>
      </c>
      <c r="D25" s="22">
        <f>D26+D28+D30</f>
        <v>17832250005.58</v>
      </c>
      <c r="E25" s="22">
        <f>E26+E28+E30</f>
        <v>17868670281.1</v>
      </c>
      <c r="F25" s="30" t="s">
        <v>63</v>
      </c>
      <c r="G25" s="30" t="s">
        <v>63</v>
      </c>
      <c r="H25" s="30" t="s">
        <v>63</v>
      </c>
      <c r="I25" s="30" t="s">
        <v>63</v>
      </c>
      <c r="J25" s="30" t="s">
        <v>63</v>
      </c>
      <c r="K25" s="23">
        <f t="shared" si="0"/>
        <v>17.776355941056025</v>
      </c>
      <c r="L25" s="23">
        <f t="shared" si="1"/>
        <v>99.40317377419204</v>
      </c>
      <c r="M25" s="32"/>
    </row>
    <row r="26" spans="2:13" ht="22.5" customHeight="1">
      <c r="B26" s="27" t="s">
        <v>9</v>
      </c>
      <c r="C26" s="25">
        <f>16449835177.95</f>
        <v>16449835177.95</v>
      </c>
      <c r="D26" s="34">
        <f>16390052441.38</f>
        <v>16390052441.38</v>
      </c>
      <c r="E26" s="25">
        <f>16409011261.06</f>
        <v>16409011261.06</v>
      </c>
      <c r="F26" s="25" t="s">
        <v>63</v>
      </c>
      <c r="G26" s="25" t="s">
        <v>63</v>
      </c>
      <c r="H26" s="25" t="s">
        <v>63</v>
      </c>
      <c r="I26" s="25" t="s">
        <v>63</v>
      </c>
      <c r="J26" s="25" t="s">
        <v>63</v>
      </c>
      <c r="K26" s="26">
        <f t="shared" si="0"/>
        <v>16.338678854287895</v>
      </c>
      <c r="L26" s="26">
        <f t="shared" si="1"/>
        <v>99.63657546763669</v>
      </c>
      <c r="M26" s="32"/>
    </row>
    <row r="27" spans="2:13" ht="12.75">
      <c r="B27" s="27" t="s">
        <v>6</v>
      </c>
      <c r="C27" s="28">
        <f>4133696.68</f>
        <v>4133696.68</v>
      </c>
      <c r="D27" s="28">
        <f>3045512.79</f>
        <v>3045512.79</v>
      </c>
      <c r="E27" s="28">
        <f>3045512.79</f>
        <v>3045512.79</v>
      </c>
      <c r="F27" s="28" t="s">
        <v>63</v>
      </c>
      <c r="G27" s="28" t="s">
        <v>63</v>
      </c>
      <c r="H27" s="28" t="s">
        <v>63</v>
      </c>
      <c r="I27" s="28" t="s">
        <v>63</v>
      </c>
      <c r="J27" s="28" t="s">
        <v>63</v>
      </c>
      <c r="K27" s="26">
        <f t="shared" si="0"/>
        <v>0.003035966821973554</v>
      </c>
      <c r="L27" s="26">
        <f t="shared" si="1"/>
        <v>73.67528451555376</v>
      </c>
      <c r="M27" s="32"/>
    </row>
    <row r="28" spans="2:13" ht="13.5" customHeight="1">
      <c r="B28" s="27" t="s">
        <v>7</v>
      </c>
      <c r="C28" s="28">
        <f>1471649122.99</f>
        <v>1471649122.99</v>
      </c>
      <c r="D28" s="29">
        <f>1426116809.12</f>
        <v>1426116809.12</v>
      </c>
      <c r="E28" s="28">
        <f>1443101872.67</f>
        <v>1443101872.67</v>
      </c>
      <c r="F28" s="28" t="s">
        <v>63</v>
      </c>
      <c r="G28" s="28" t="s">
        <v>63</v>
      </c>
      <c r="H28" s="28" t="s">
        <v>63</v>
      </c>
      <c r="I28" s="28" t="s">
        <v>63</v>
      </c>
      <c r="J28" s="28" t="s">
        <v>63</v>
      </c>
      <c r="K28" s="26">
        <f t="shared" si="0"/>
        <v>1.4216467358021214</v>
      </c>
      <c r="L28" s="26">
        <f t="shared" si="1"/>
        <v>96.90603465468111</v>
      </c>
      <c r="M28" s="32"/>
    </row>
    <row r="29" spans="2:13" ht="12.75">
      <c r="B29" s="27" t="s">
        <v>6</v>
      </c>
      <c r="C29" s="28">
        <f>24194448.94</f>
        <v>24194448.94</v>
      </c>
      <c r="D29" s="28">
        <f>21259165.37</f>
        <v>21259165.37</v>
      </c>
      <c r="E29" s="28">
        <f>21116125.06</f>
        <v>21116125.06</v>
      </c>
      <c r="F29" s="28" t="s">
        <v>63</v>
      </c>
      <c r="G29" s="28" t="s">
        <v>63</v>
      </c>
      <c r="H29" s="28" t="s">
        <v>63</v>
      </c>
      <c r="I29" s="28" t="s">
        <v>63</v>
      </c>
      <c r="J29" s="28" t="s">
        <v>63</v>
      </c>
      <c r="K29" s="26">
        <f t="shared" si="0"/>
        <v>0.02119252985510172</v>
      </c>
      <c r="L29" s="26">
        <f t="shared" si="1"/>
        <v>87.86794616699379</v>
      </c>
      <c r="M29" s="32"/>
    </row>
    <row r="30" spans="2:13" ht="33.75">
      <c r="B30" s="27" t="s">
        <v>10</v>
      </c>
      <c r="C30" s="28">
        <f>17832250.55</f>
        <v>17832250.55</v>
      </c>
      <c r="D30" s="29">
        <f>16080755.08</f>
        <v>16080755.08</v>
      </c>
      <c r="E30" s="28">
        <f>16557147.37</f>
        <v>16557147.37</v>
      </c>
      <c r="F30" s="28" t="s">
        <v>63</v>
      </c>
      <c r="G30" s="28" t="s">
        <v>63</v>
      </c>
      <c r="H30" s="28" t="s">
        <v>63</v>
      </c>
      <c r="I30" s="28" t="s">
        <v>63</v>
      </c>
      <c r="J30" s="28" t="s">
        <v>63</v>
      </c>
      <c r="K30" s="26">
        <f t="shared" si="0"/>
        <v>0.01603035096600684</v>
      </c>
      <c r="L30" s="26">
        <f t="shared" si="1"/>
        <v>90.17793371011153</v>
      </c>
      <c r="M30" s="32"/>
    </row>
    <row r="31" spans="2:13" ht="12.75">
      <c r="B31" s="27" t="s">
        <v>6</v>
      </c>
      <c r="C31" s="28">
        <f>1284249</f>
        <v>1284249</v>
      </c>
      <c r="D31" s="28">
        <f>1152663.16</f>
        <v>1152663.16</v>
      </c>
      <c r="E31" s="28">
        <f>1261759.96</f>
        <v>1261759.96</v>
      </c>
      <c r="F31" s="28" t="s">
        <v>63</v>
      </c>
      <c r="G31" s="28" t="s">
        <v>63</v>
      </c>
      <c r="H31" s="28" t="s">
        <v>63</v>
      </c>
      <c r="I31" s="28" t="s">
        <v>63</v>
      </c>
      <c r="J31" s="28" t="s">
        <v>63</v>
      </c>
      <c r="K31" s="26">
        <f t="shared" si="0"/>
        <v>0.0011490502099225114</v>
      </c>
      <c r="L31" s="26">
        <f t="shared" si="1"/>
        <v>89.75386860336273</v>
      </c>
      <c r="M31" s="32"/>
    </row>
    <row r="32" spans="2:13" ht="13.5" customHeight="1">
      <c r="B32" s="35" t="s">
        <v>59</v>
      </c>
      <c r="C32" s="22">
        <f>C33+C35+C37</f>
        <v>2304236489.19</v>
      </c>
      <c r="D32" s="22">
        <f>D33+D35+D37</f>
        <v>2230119000.69</v>
      </c>
      <c r="E32" s="22">
        <f>E33+E35+E37</f>
        <v>2243863177.46</v>
      </c>
      <c r="F32" s="30" t="s">
        <v>63</v>
      </c>
      <c r="G32" s="30" t="s">
        <v>63</v>
      </c>
      <c r="H32" s="30" t="s">
        <v>63</v>
      </c>
      <c r="I32" s="30" t="s">
        <v>63</v>
      </c>
      <c r="J32" s="30" t="s">
        <v>63</v>
      </c>
      <c r="K32" s="23">
        <f t="shared" si="0"/>
        <v>2.2231288331406605</v>
      </c>
      <c r="L32" s="23">
        <f t="shared" si="1"/>
        <v>96.78342527567324</v>
      </c>
      <c r="M32" s="32"/>
    </row>
    <row r="33" spans="2:13" ht="22.5">
      <c r="B33" s="27" t="s">
        <v>9</v>
      </c>
      <c r="C33" s="28">
        <f>1980065031.06</f>
        <v>1980065031.06</v>
      </c>
      <c r="D33" s="28">
        <f>1934110897.07</f>
        <v>1934110897.07</v>
      </c>
      <c r="E33" s="28">
        <f>1941205348.67</f>
        <v>1941205348.67</v>
      </c>
      <c r="F33" s="28" t="s">
        <v>63</v>
      </c>
      <c r="G33" s="28" t="s">
        <v>63</v>
      </c>
      <c r="H33" s="28" t="s">
        <v>63</v>
      </c>
      <c r="I33" s="28" t="s">
        <v>63</v>
      </c>
      <c r="J33" s="28" t="s">
        <v>63</v>
      </c>
      <c r="K33" s="26">
        <f t="shared" si="0"/>
        <v>1.9280485482781464</v>
      </c>
      <c r="L33" s="26">
        <f t="shared" si="1"/>
        <v>97.67916036750576</v>
      </c>
      <c r="M33" s="32"/>
    </row>
    <row r="34" spans="2:13" ht="12.75">
      <c r="B34" s="27" t="s">
        <v>6</v>
      </c>
      <c r="C34" s="28">
        <f>85661945.86</f>
        <v>85661945.86</v>
      </c>
      <c r="D34" s="29">
        <f>58358260.5</f>
        <v>58358260.5</v>
      </c>
      <c r="E34" s="28">
        <f>58410957.13</f>
        <v>58410957.13</v>
      </c>
      <c r="F34" s="28" t="s">
        <v>63</v>
      </c>
      <c r="G34" s="28" t="s">
        <v>63</v>
      </c>
      <c r="H34" s="28" t="s">
        <v>63</v>
      </c>
      <c r="I34" s="28" t="s">
        <v>63</v>
      </c>
      <c r="J34" s="28" t="s">
        <v>63</v>
      </c>
      <c r="K34" s="26">
        <f t="shared" si="0"/>
        <v>0.058175340208008054</v>
      </c>
      <c r="L34" s="26">
        <f t="shared" si="1"/>
        <v>68.12623728554652</v>
      </c>
      <c r="M34" s="32"/>
    </row>
    <row r="35" spans="2:13" ht="13.5" customHeight="1">
      <c r="B35" s="27" t="s">
        <v>7</v>
      </c>
      <c r="C35" s="28">
        <f>271600543.79</f>
        <v>271600543.79</v>
      </c>
      <c r="D35" s="28">
        <f>261378760.59</f>
        <v>261378760.59</v>
      </c>
      <c r="E35" s="28">
        <f>261388185.75</f>
        <v>261388185.75</v>
      </c>
      <c r="F35" s="28" t="s">
        <v>63</v>
      </c>
      <c r="G35" s="28" t="s">
        <v>63</v>
      </c>
      <c r="H35" s="28" t="s">
        <v>63</v>
      </c>
      <c r="I35" s="28" t="s">
        <v>63</v>
      </c>
      <c r="J35" s="28" t="s">
        <v>63</v>
      </c>
      <c r="K35" s="26">
        <f t="shared" si="0"/>
        <v>0.26055948532720125</v>
      </c>
      <c r="L35" s="26">
        <f t="shared" si="1"/>
        <v>96.23646438355313</v>
      </c>
      <c r="M35" s="32"/>
    </row>
    <row r="36" spans="2:13" ht="12.75">
      <c r="B36" s="27" t="s">
        <v>6</v>
      </c>
      <c r="C36" s="28">
        <f>64180662.23</f>
        <v>64180662.23</v>
      </c>
      <c r="D36" s="29">
        <f>55966265.94</f>
        <v>55966265.94</v>
      </c>
      <c r="E36" s="28">
        <f>55923487.71</f>
        <v>55923487.71</v>
      </c>
      <c r="F36" s="28" t="s">
        <v>63</v>
      </c>
      <c r="G36" s="28" t="s">
        <v>63</v>
      </c>
      <c r="H36" s="28" t="s">
        <v>63</v>
      </c>
      <c r="I36" s="28" t="s">
        <v>63</v>
      </c>
      <c r="J36" s="28" t="s">
        <v>63</v>
      </c>
      <c r="K36" s="26">
        <f t="shared" si="0"/>
        <v>0.055790843204302734</v>
      </c>
      <c r="L36" s="26">
        <f t="shared" si="1"/>
        <v>87.20113503883364</v>
      </c>
      <c r="M36" s="32"/>
    </row>
    <row r="37" spans="2:13" ht="33.75">
      <c r="B37" s="27" t="s">
        <v>10</v>
      </c>
      <c r="C37" s="28">
        <f>52570914.34</f>
        <v>52570914.34</v>
      </c>
      <c r="D37" s="28">
        <f>34629343.03</f>
        <v>34629343.03</v>
      </c>
      <c r="E37" s="28">
        <f>41269643.04</f>
        <v>41269643.04</v>
      </c>
      <c r="F37" s="28" t="s">
        <v>63</v>
      </c>
      <c r="G37" s="28" t="s">
        <v>63</v>
      </c>
      <c r="H37" s="28" t="s">
        <v>63</v>
      </c>
      <c r="I37" s="28" t="s">
        <v>63</v>
      </c>
      <c r="J37" s="28" t="s">
        <v>63</v>
      </c>
      <c r="K37" s="26">
        <f t="shared" si="0"/>
        <v>0.034520799535312785</v>
      </c>
      <c r="L37" s="26">
        <f t="shared" si="1"/>
        <v>65.87167726632315</v>
      </c>
      <c r="M37" s="32"/>
    </row>
    <row r="38" spans="2:13" ht="12.75">
      <c r="B38" s="27" t="s">
        <v>6</v>
      </c>
      <c r="C38" s="28">
        <f>100000</f>
        <v>100000</v>
      </c>
      <c r="D38" s="29">
        <f>100000</f>
        <v>100000</v>
      </c>
      <c r="E38" s="28">
        <f>100000</f>
        <v>100000</v>
      </c>
      <c r="F38" s="28" t="s">
        <v>63</v>
      </c>
      <c r="G38" s="28" t="s">
        <v>63</v>
      </c>
      <c r="H38" s="28" t="s">
        <v>63</v>
      </c>
      <c r="I38" s="28" t="s">
        <v>63</v>
      </c>
      <c r="J38" s="28" t="s">
        <v>63</v>
      </c>
      <c r="K38" s="26">
        <f t="shared" si="0"/>
        <v>9.968655629824343E-05</v>
      </c>
      <c r="L38" s="26">
        <f t="shared" si="1"/>
        <v>100</v>
      </c>
      <c r="M38" s="32"/>
    </row>
    <row r="39" spans="2:13" ht="13.5" customHeight="1">
      <c r="B39" s="33" t="s">
        <v>60</v>
      </c>
      <c r="C39" s="22">
        <f>C40+C42+C44</f>
        <v>697654195.13</v>
      </c>
      <c r="D39" s="22">
        <f>D40+D42+D44</f>
        <v>644026769.6</v>
      </c>
      <c r="E39" s="22">
        <f>E40+E42+E44</f>
        <v>646072279.15</v>
      </c>
      <c r="F39" s="30" t="s">
        <v>63</v>
      </c>
      <c r="G39" s="30" t="s">
        <v>63</v>
      </c>
      <c r="H39" s="30" t="s">
        <v>63</v>
      </c>
      <c r="I39" s="30" t="s">
        <v>63</v>
      </c>
      <c r="J39" s="30" t="s">
        <v>63</v>
      </c>
      <c r="K39" s="23">
        <f t="shared" si="0"/>
        <v>0.6420081082530624</v>
      </c>
      <c r="L39" s="23">
        <f t="shared" si="1"/>
        <v>92.313179522986</v>
      </c>
      <c r="M39" s="32"/>
    </row>
    <row r="40" spans="2:13" ht="22.5">
      <c r="B40" s="27" t="s">
        <v>11</v>
      </c>
      <c r="C40" s="25">
        <f>423714141.9</f>
        <v>423714141.9</v>
      </c>
      <c r="D40" s="34">
        <f>420041808.01</f>
        <v>420041808.01</v>
      </c>
      <c r="E40" s="25">
        <f>420854464.09</f>
        <v>420854464.09</v>
      </c>
      <c r="F40" s="25" t="s">
        <v>63</v>
      </c>
      <c r="G40" s="25" t="s">
        <v>63</v>
      </c>
      <c r="H40" s="25" t="s">
        <v>63</v>
      </c>
      <c r="I40" s="25" t="s">
        <v>63</v>
      </c>
      <c r="J40" s="25" t="s">
        <v>63</v>
      </c>
      <c r="K40" s="26">
        <f t="shared" si="0"/>
        <v>0.4187252134180482</v>
      </c>
      <c r="L40" s="26">
        <f t="shared" si="1"/>
        <v>99.133299192344</v>
      </c>
      <c r="M40" s="32"/>
    </row>
    <row r="41" spans="2:13" ht="12.75">
      <c r="B41" s="27" t="s">
        <v>6</v>
      </c>
      <c r="C41" s="28">
        <f>2907549.65</f>
        <v>2907549.65</v>
      </c>
      <c r="D41" s="28">
        <f>2179383.67</f>
        <v>2179383.67</v>
      </c>
      <c r="E41" s="28">
        <f>2355522.5</f>
        <v>2355522.5</v>
      </c>
      <c r="F41" s="28" t="s">
        <v>63</v>
      </c>
      <c r="G41" s="28" t="s">
        <v>63</v>
      </c>
      <c r="H41" s="28" t="s">
        <v>63</v>
      </c>
      <c r="I41" s="28" t="s">
        <v>63</v>
      </c>
      <c r="J41" s="28" t="s">
        <v>63</v>
      </c>
      <c r="K41" s="26">
        <f t="shared" si="0"/>
        <v>0.0021725525291492738</v>
      </c>
      <c r="L41" s="26">
        <f t="shared" si="1"/>
        <v>74.9560259443893</v>
      </c>
      <c r="M41" s="32"/>
    </row>
    <row r="42" spans="2:13" ht="24" customHeight="1">
      <c r="B42" s="27" t="s">
        <v>8</v>
      </c>
      <c r="C42" s="28">
        <f>178284877.13</f>
        <v>178284877.13</v>
      </c>
      <c r="D42" s="29">
        <f>129728100.26</f>
        <v>129728100.26</v>
      </c>
      <c r="E42" s="28">
        <f>131446821.08</f>
        <v>131446821.08</v>
      </c>
      <c r="F42" s="28" t="s">
        <v>63</v>
      </c>
      <c r="G42" s="28" t="s">
        <v>63</v>
      </c>
      <c r="H42" s="28" t="s">
        <v>63</v>
      </c>
      <c r="I42" s="28" t="s">
        <v>63</v>
      </c>
      <c r="J42" s="28" t="s">
        <v>63</v>
      </c>
      <c r="K42" s="26">
        <f t="shared" si="0"/>
        <v>0.12932147570032657</v>
      </c>
      <c r="L42" s="26">
        <f t="shared" si="1"/>
        <v>72.76450047157176</v>
      </c>
      <c r="M42" s="32"/>
    </row>
    <row r="43" spans="2:13" ht="12.75">
      <c r="B43" s="27" t="s">
        <v>6</v>
      </c>
      <c r="C43" s="28">
        <f>164894751.28</f>
        <v>164894751.28</v>
      </c>
      <c r="D43" s="28">
        <f>119306994.88</f>
        <v>119306994.88</v>
      </c>
      <c r="E43" s="28">
        <f>119346994.88</f>
        <v>119346994.88</v>
      </c>
      <c r="F43" s="28" t="s">
        <v>63</v>
      </c>
      <c r="G43" s="28" t="s">
        <v>63</v>
      </c>
      <c r="H43" s="28" t="s">
        <v>63</v>
      </c>
      <c r="I43" s="28" t="s">
        <v>63</v>
      </c>
      <c r="J43" s="28" t="s">
        <v>63</v>
      </c>
      <c r="K43" s="26">
        <f t="shared" si="0"/>
        <v>0.11893303461879359</v>
      </c>
      <c r="L43" s="26">
        <f t="shared" si="1"/>
        <v>72.3534217759366</v>
      </c>
      <c r="M43" s="32"/>
    </row>
    <row r="44" spans="2:13" ht="33.75">
      <c r="B44" s="27" t="s">
        <v>85</v>
      </c>
      <c r="C44" s="28">
        <f>95655176.1</f>
        <v>95655176.1</v>
      </c>
      <c r="D44" s="28">
        <f>94256861.33</f>
        <v>94256861.33</v>
      </c>
      <c r="E44" s="28">
        <f>93770993.98</f>
        <v>93770993.98</v>
      </c>
      <c r="F44" s="28" t="s">
        <v>63</v>
      </c>
      <c r="G44" s="28" t="s">
        <v>63</v>
      </c>
      <c r="H44" s="28" t="s">
        <v>63</v>
      </c>
      <c r="I44" s="28" t="s">
        <v>63</v>
      </c>
      <c r="J44" s="28" t="s">
        <v>63</v>
      </c>
      <c r="K44" s="26">
        <f t="shared" si="0"/>
        <v>0.09396141913468768</v>
      </c>
      <c r="L44" s="26">
        <f t="shared" si="1"/>
        <v>98.53817134941222</v>
      </c>
      <c r="M44" s="32"/>
    </row>
    <row r="45" spans="2:13" ht="12.75">
      <c r="B45" s="27" t="s">
        <v>6</v>
      </c>
      <c r="C45" s="28">
        <f>84945375</f>
        <v>84945375</v>
      </c>
      <c r="D45" s="28">
        <f>83543397.82</f>
        <v>83543397.82</v>
      </c>
      <c r="E45" s="28">
        <f>83050430.47</f>
        <v>83050430.47</v>
      </c>
      <c r="F45" s="28" t="s">
        <v>63</v>
      </c>
      <c r="G45" s="28" t="s">
        <v>63</v>
      </c>
      <c r="H45" s="28" t="s">
        <v>63</v>
      </c>
      <c r="I45" s="28" t="s">
        <v>63</v>
      </c>
      <c r="J45" s="28" t="s">
        <v>63</v>
      </c>
      <c r="K45" s="26">
        <f t="shared" si="0"/>
        <v>0.08328153630129975</v>
      </c>
      <c r="L45" s="26">
        <f t="shared" si="1"/>
        <v>98.34955442836056</v>
      </c>
      <c r="M45" s="32"/>
    </row>
    <row r="46" spans="2:13" ht="13.5" customHeight="1">
      <c r="B46" s="21" t="s">
        <v>94</v>
      </c>
      <c r="C46" s="22">
        <f>386483997.4</f>
        <v>386483997.4</v>
      </c>
      <c r="D46" s="22">
        <f>323529365.6</f>
        <v>323529365.6</v>
      </c>
      <c r="E46" s="22">
        <f>322716436.18</f>
        <v>322716436.18</v>
      </c>
      <c r="F46" s="30" t="s">
        <v>63</v>
      </c>
      <c r="G46" s="30" t="s">
        <v>63</v>
      </c>
      <c r="H46" s="30" t="s">
        <v>63</v>
      </c>
      <c r="I46" s="30" t="s">
        <v>63</v>
      </c>
      <c r="J46" s="30" t="s">
        <v>63</v>
      </c>
      <c r="K46" s="23">
        <f t="shared" si="0"/>
        <v>0.32251528318019385</v>
      </c>
      <c r="L46" s="23">
        <f t="shared" si="1"/>
        <v>83.71093441810899</v>
      </c>
      <c r="M46" s="32"/>
    </row>
    <row r="47" spans="2:13" ht="13.5" customHeight="1">
      <c r="B47" s="27" t="s">
        <v>95</v>
      </c>
      <c r="C47" s="28">
        <f>335449686.64</f>
        <v>335449686.64</v>
      </c>
      <c r="D47" s="28">
        <f>285556883.85</f>
        <v>285556883.85</v>
      </c>
      <c r="E47" s="28">
        <f>285663083.85</f>
        <v>285663083.85</v>
      </c>
      <c r="F47" s="28" t="s">
        <v>63</v>
      </c>
      <c r="G47" s="28" t="s">
        <v>63</v>
      </c>
      <c r="H47" s="28" t="s">
        <v>63</v>
      </c>
      <c r="I47" s="28" t="s">
        <v>63</v>
      </c>
      <c r="J47" s="28" t="s">
        <v>63</v>
      </c>
      <c r="K47" s="26">
        <f t="shared" si="0"/>
        <v>0.2846618237826399</v>
      </c>
      <c r="L47" s="26">
        <f t="shared" si="1"/>
        <v>85.12659132588661</v>
      </c>
      <c r="M47" s="32"/>
    </row>
    <row r="48" spans="2:13" ht="13.5" customHeight="1">
      <c r="B48" s="21" t="s">
        <v>96</v>
      </c>
      <c r="C48" s="30">
        <f>5187183252.86</f>
        <v>5187183252.86</v>
      </c>
      <c r="D48" s="30">
        <f>4417841940.43</f>
        <v>4417841940.43</v>
      </c>
      <c r="E48" s="30">
        <f>4420300546.93</f>
        <v>4420300546.93</v>
      </c>
      <c r="F48" s="30" t="s">
        <v>63</v>
      </c>
      <c r="G48" s="30" t="s">
        <v>63</v>
      </c>
      <c r="H48" s="30" t="s">
        <v>63</v>
      </c>
      <c r="I48" s="30" t="s">
        <v>63</v>
      </c>
      <c r="J48" s="30" t="s">
        <v>63</v>
      </c>
      <c r="K48" s="36">
        <f t="shared" si="0"/>
        <v>4.403994493114162</v>
      </c>
      <c r="L48" s="36">
        <f t="shared" si="1"/>
        <v>85.16841848597085</v>
      </c>
      <c r="M48" s="32"/>
    </row>
    <row r="49" spans="2:13" ht="13.5" customHeight="1">
      <c r="B49" s="37" t="s">
        <v>97</v>
      </c>
      <c r="C49" s="38">
        <f>4369962874.52</f>
        <v>4369962874.52</v>
      </c>
      <c r="D49" s="38">
        <f>3754113030.42</f>
        <v>3754113030.42</v>
      </c>
      <c r="E49" s="38">
        <f>3755529331.91</f>
        <v>3755529331.91</v>
      </c>
      <c r="F49" s="38" t="s">
        <v>63</v>
      </c>
      <c r="G49" s="38" t="s">
        <v>63</v>
      </c>
      <c r="H49" s="38" t="s">
        <v>63</v>
      </c>
      <c r="I49" s="38" t="s">
        <v>63</v>
      </c>
      <c r="J49" s="38" t="s">
        <v>63</v>
      </c>
      <c r="K49" s="39">
        <f t="shared" si="0"/>
        <v>3.7423459995693253</v>
      </c>
      <c r="L49" s="39">
        <f t="shared" si="1"/>
        <v>85.90720649617313</v>
      </c>
      <c r="M49" s="32"/>
    </row>
    <row r="50" spans="2:13" s="40" customFormat="1" ht="25.5" customHeight="1">
      <c r="B50" s="21" t="s">
        <v>70</v>
      </c>
      <c r="C50" s="22">
        <f>C51+C52+C53+C57</f>
        <v>18795335189</v>
      </c>
      <c r="D50" s="22">
        <f>D51+D52+D53+D57</f>
        <v>18791507390</v>
      </c>
      <c r="E50" s="22">
        <f>E51+E52+E53+E57</f>
        <v>18818852291</v>
      </c>
      <c r="F50" s="30" t="s">
        <v>63</v>
      </c>
      <c r="G50" s="30" t="s">
        <v>63</v>
      </c>
      <c r="H50" s="30" t="s">
        <v>63</v>
      </c>
      <c r="I50" s="30" t="s">
        <v>63</v>
      </c>
      <c r="J50" s="30" t="s">
        <v>63</v>
      </c>
      <c r="K50" s="23">
        <f t="shared" si="0"/>
        <v>18.732606593620922</v>
      </c>
      <c r="L50" s="23">
        <f t="shared" si="1"/>
        <v>99.97963431371929</v>
      </c>
      <c r="M50" s="41"/>
    </row>
    <row r="51" spans="2:13" ht="13.5" customHeight="1">
      <c r="B51" s="27" t="s">
        <v>44</v>
      </c>
      <c r="C51" s="28">
        <f>17279540700</f>
        <v>17279540700</v>
      </c>
      <c r="D51" s="28">
        <f>17279540700</f>
        <v>17279540700</v>
      </c>
      <c r="E51" s="28">
        <f>17306885601</f>
        <v>17306885601</v>
      </c>
      <c r="F51" s="28" t="s">
        <v>63</v>
      </c>
      <c r="G51" s="28" t="s">
        <v>63</v>
      </c>
      <c r="H51" s="28" t="s">
        <v>63</v>
      </c>
      <c r="I51" s="28" t="s">
        <v>63</v>
      </c>
      <c r="J51" s="28" t="s">
        <v>63</v>
      </c>
      <c r="K51" s="26">
        <f t="shared" si="0"/>
        <v>17.225379067983386</v>
      </c>
      <c r="L51" s="26">
        <f t="shared" si="1"/>
        <v>100</v>
      </c>
      <c r="M51" s="32"/>
    </row>
    <row r="52" spans="2:13" s="40" customFormat="1" ht="12.75">
      <c r="B52" s="27" t="s">
        <v>40</v>
      </c>
      <c r="C52" s="25">
        <f>246384629</f>
        <v>246384629</v>
      </c>
      <c r="D52" s="34">
        <f>242556830</f>
        <v>242556830</v>
      </c>
      <c r="E52" s="25">
        <f>242556830</f>
        <v>242556830</v>
      </c>
      <c r="F52" s="25" t="s">
        <v>63</v>
      </c>
      <c r="G52" s="25" t="s">
        <v>63</v>
      </c>
      <c r="H52" s="25" t="s">
        <v>63</v>
      </c>
      <c r="I52" s="25" t="s">
        <v>63</v>
      </c>
      <c r="J52" s="25" t="s">
        <v>63</v>
      </c>
      <c r="K52" s="26">
        <f t="shared" si="0"/>
        <v>0.24179655089318458</v>
      </c>
      <c r="L52" s="26">
        <f t="shared" si="1"/>
        <v>98.44641322977985</v>
      </c>
      <c r="M52" s="41"/>
    </row>
    <row r="53" spans="2:13" s="40" customFormat="1" ht="25.5" customHeight="1">
      <c r="B53" s="21" t="s">
        <v>61</v>
      </c>
      <c r="C53" s="22">
        <f>C54+C55+C56</f>
        <v>310414816</v>
      </c>
      <c r="D53" s="22">
        <f>D54+D55+D56</f>
        <v>310414816</v>
      </c>
      <c r="E53" s="22">
        <f>E54+E55+E56</f>
        <v>310414816</v>
      </c>
      <c r="F53" s="30" t="s">
        <v>63</v>
      </c>
      <c r="G53" s="30" t="s">
        <v>63</v>
      </c>
      <c r="H53" s="30" t="s">
        <v>63</v>
      </c>
      <c r="I53" s="30" t="s">
        <v>63</v>
      </c>
      <c r="J53" s="30" t="s">
        <v>63</v>
      </c>
      <c r="K53" s="23">
        <f t="shared" si="0"/>
        <v>0.3094418403099287</v>
      </c>
      <c r="L53" s="23">
        <f t="shared" si="1"/>
        <v>100</v>
      </c>
      <c r="M53" s="41"/>
    </row>
    <row r="54" spans="2:13" ht="13.5" customHeight="1">
      <c r="B54" s="27" t="s">
        <v>45</v>
      </c>
      <c r="C54" s="25">
        <f>189159504</f>
        <v>189159504</v>
      </c>
      <c r="D54" s="34">
        <f>189159504</f>
        <v>189159504</v>
      </c>
      <c r="E54" s="25">
        <f>189159504</f>
        <v>189159504</v>
      </c>
      <c r="F54" s="25" t="s">
        <v>63</v>
      </c>
      <c r="G54" s="25" t="s">
        <v>63</v>
      </c>
      <c r="H54" s="25" t="s">
        <v>63</v>
      </c>
      <c r="I54" s="25" t="s">
        <v>63</v>
      </c>
      <c r="J54" s="25" t="s">
        <v>63</v>
      </c>
      <c r="K54" s="26">
        <f t="shared" si="0"/>
        <v>0.188566595448438</v>
      </c>
      <c r="L54" s="26">
        <f t="shared" si="1"/>
        <v>100</v>
      </c>
      <c r="M54" s="32"/>
    </row>
    <row r="55" spans="2:13" ht="13.5" customHeight="1">
      <c r="B55" s="27" t="s">
        <v>43</v>
      </c>
      <c r="C55" s="28">
        <f>11190438</f>
        <v>11190438</v>
      </c>
      <c r="D55" s="28">
        <f>11190438</f>
        <v>11190438</v>
      </c>
      <c r="E55" s="28">
        <f>11190438</f>
        <v>11190438</v>
      </c>
      <c r="F55" s="28" t="s">
        <v>63</v>
      </c>
      <c r="G55" s="28" t="s">
        <v>63</v>
      </c>
      <c r="H55" s="28" t="s">
        <v>63</v>
      </c>
      <c r="I55" s="28" t="s">
        <v>63</v>
      </c>
      <c r="J55" s="28" t="s">
        <v>63</v>
      </c>
      <c r="K55" s="26">
        <f t="shared" si="0"/>
        <v>0.011155362276890025</v>
      </c>
      <c r="L55" s="26">
        <f t="shared" si="1"/>
        <v>100</v>
      </c>
      <c r="M55" s="32"/>
    </row>
    <row r="56" spans="2:13" ht="13.5" customHeight="1">
      <c r="B56" s="27" t="s">
        <v>42</v>
      </c>
      <c r="C56" s="25">
        <f>110064874</f>
        <v>110064874</v>
      </c>
      <c r="D56" s="34">
        <f>110064874</f>
        <v>110064874</v>
      </c>
      <c r="E56" s="25">
        <f>110064874</f>
        <v>110064874</v>
      </c>
      <c r="F56" s="25" t="s">
        <v>63</v>
      </c>
      <c r="G56" s="25" t="s">
        <v>63</v>
      </c>
      <c r="H56" s="25" t="s">
        <v>63</v>
      </c>
      <c r="I56" s="25" t="s">
        <v>63</v>
      </c>
      <c r="J56" s="25" t="s">
        <v>63</v>
      </c>
      <c r="K56" s="26">
        <f t="shared" si="0"/>
        <v>0.10971988258460069</v>
      </c>
      <c r="L56" s="26">
        <f t="shared" si="1"/>
        <v>100</v>
      </c>
      <c r="M56" s="32"/>
    </row>
    <row r="57" spans="2:13" s="40" customFormat="1" ht="25.5" customHeight="1">
      <c r="B57" s="21" t="s">
        <v>62</v>
      </c>
      <c r="C57" s="22">
        <f>C58+C59</f>
        <v>958995044</v>
      </c>
      <c r="D57" s="22">
        <f>D58+D59</f>
        <v>958995044</v>
      </c>
      <c r="E57" s="22">
        <f>E58+E59</f>
        <v>958995044</v>
      </c>
      <c r="F57" s="30" t="s">
        <v>63</v>
      </c>
      <c r="G57" s="30" t="s">
        <v>63</v>
      </c>
      <c r="H57" s="30" t="s">
        <v>63</v>
      </c>
      <c r="I57" s="30" t="s">
        <v>63</v>
      </c>
      <c r="J57" s="30" t="s">
        <v>63</v>
      </c>
      <c r="K57" s="23">
        <f t="shared" si="0"/>
        <v>0.9559891344344242</v>
      </c>
      <c r="L57" s="23">
        <f t="shared" si="1"/>
        <v>100</v>
      </c>
      <c r="M57" s="41"/>
    </row>
    <row r="58" spans="2:13" ht="13.5" customHeight="1">
      <c r="B58" s="27" t="s">
        <v>42</v>
      </c>
      <c r="C58" s="25">
        <f>846564324</f>
        <v>846564324</v>
      </c>
      <c r="D58" s="34">
        <f>846564324</f>
        <v>846564324</v>
      </c>
      <c r="E58" s="25">
        <f>846564324</f>
        <v>846564324</v>
      </c>
      <c r="F58" s="25" t="s">
        <v>63</v>
      </c>
      <c r="G58" s="25" t="s">
        <v>63</v>
      </c>
      <c r="H58" s="25" t="s">
        <v>63</v>
      </c>
      <c r="I58" s="25" t="s">
        <v>63</v>
      </c>
      <c r="J58" s="25" t="s">
        <v>63</v>
      </c>
      <c r="K58" s="26">
        <f t="shared" si="0"/>
        <v>0.8439108214451039</v>
      </c>
      <c r="L58" s="26">
        <f t="shared" si="1"/>
        <v>100</v>
      </c>
      <c r="M58" s="32"/>
    </row>
    <row r="59" spans="2:13" ht="13.5" customHeight="1">
      <c r="B59" s="27" t="s">
        <v>45</v>
      </c>
      <c r="C59" s="28">
        <f>112430720</f>
        <v>112430720</v>
      </c>
      <c r="D59" s="28">
        <f>112430720</f>
        <v>112430720</v>
      </c>
      <c r="E59" s="28">
        <f>112430720</f>
        <v>112430720</v>
      </c>
      <c r="F59" s="28" t="s">
        <v>63</v>
      </c>
      <c r="G59" s="28" t="s">
        <v>63</v>
      </c>
      <c r="H59" s="28" t="s">
        <v>63</v>
      </c>
      <c r="I59" s="28" t="s">
        <v>63</v>
      </c>
      <c r="J59" s="28" t="s">
        <v>63</v>
      </c>
      <c r="K59" s="26">
        <f t="shared" si="0"/>
        <v>0.11207831298932043</v>
      </c>
      <c r="L59" s="26">
        <f t="shared" si="1"/>
        <v>100</v>
      </c>
      <c r="M59" s="32"/>
    </row>
    <row r="60" spans="2:13" ht="11.25" customHeight="1">
      <c r="B60" s="42"/>
      <c r="C60" s="43"/>
      <c r="D60" s="43"/>
      <c r="E60" s="43"/>
      <c r="F60" s="43"/>
      <c r="G60" s="43"/>
      <c r="H60" s="43"/>
      <c r="I60" s="43"/>
      <c r="J60" s="43"/>
      <c r="K60" s="31"/>
      <c r="L60" s="31"/>
      <c r="M60" s="32"/>
    </row>
    <row r="61" spans="2:13" ht="13.5" customHeight="1">
      <c r="B61" s="21" t="s">
        <v>5</v>
      </c>
      <c r="C61" s="30">
        <f aca="true" t="shared" si="4" ref="C61:J61">+C5</f>
        <v>100747828795.61</v>
      </c>
      <c r="D61" s="30">
        <f t="shared" si="4"/>
        <v>100314429260.47</v>
      </c>
      <c r="E61" s="30">
        <f t="shared" si="4"/>
        <v>100324626387.19</v>
      </c>
      <c r="F61" s="30">
        <f t="shared" si="4"/>
        <v>459988606.71</v>
      </c>
      <c r="G61" s="30">
        <f t="shared" si="4"/>
        <v>148979698.18</v>
      </c>
      <c r="H61" s="30">
        <f t="shared" si="4"/>
        <v>28187215.97</v>
      </c>
      <c r="I61" s="30">
        <f t="shared" si="4"/>
        <v>100235463.64</v>
      </c>
      <c r="J61" s="30">
        <f t="shared" si="4"/>
        <v>7595514.94</v>
      </c>
      <c r="K61" s="23">
        <f t="shared" si="0"/>
        <v>100</v>
      </c>
      <c r="L61" s="23">
        <f t="shared" si="1"/>
        <v>99.56981749351715</v>
      </c>
      <c r="M61" s="32"/>
    </row>
    <row r="62" spans="2:13" ht="12.75">
      <c r="B62" s="27" t="s">
        <v>78</v>
      </c>
      <c r="C62" s="28">
        <f>8801380290.3</f>
        <v>8801380290.3</v>
      </c>
      <c r="D62" s="28">
        <f>8731475769.31</f>
        <v>8731475769.31</v>
      </c>
      <c r="E62" s="28">
        <f>8841201502.19</f>
        <v>8841201502.19</v>
      </c>
      <c r="F62" s="28">
        <f>0</f>
        <v>0</v>
      </c>
      <c r="G62" s="28">
        <f>0</f>
        <v>0</v>
      </c>
      <c r="H62" s="28">
        <f>0</f>
        <v>0</v>
      </c>
      <c r="I62" s="28">
        <f>0</f>
        <v>0</v>
      </c>
      <c r="J62" s="28">
        <f>0</f>
        <v>0</v>
      </c>
      <c r="K62" s="26">
        <f t="shared" si="0"/>
        <v>8.704107508440696</v>
      </c>
      <c r="L62" s="26">
        <f t="shared" si="1"/>
        <v>99.20575502154996</v>
      </c>
      <c r="M62" s="32"/>
    </row>
    <row r="63" spans="1:13" s="40" customFormat="1" ht="12.75">
      <c r="A63" s="9"/>
      <c r="B63" s="27" t="s">
        <v>79</v>
      </c>
      <c r="C63" s="28">
        <f>C61-C62</f>
        <v>91946448505.31</v>
      </c>
      <c r="D63" s="28">
        <f aca="true" t="shared" si="5" ref="D63:J63">D61-D62</f>
        <v>91582953491.16</v>
      </c>
      <c r="E63" s="28">
        <f t="shared" si="5"/>
        <v>91483424885</v>
      </c>
      <c r="F63" s="28">
        <f t="shared" si="5"/>
        <v>459988606.71</v>
      </c>
      <c r="G63" s="28">
        <f t="shared" si="5"/>
        <v>148979698.18</v>
      </c>
      <c r="H63" s="28">
        <f t="shared" si="5"/>
        <v>28187215.97</v>
      </c>
      <c r="I63" s="28">
        <f t="shared" si="5"/>
        <v>100235463.64</v>
      </c>
      <c r="J63" s="28">
        <f t="shared" si="5"/>
        <v>7595514.94</v>
      </c>
      <c r="K63" s="26">
        <f t="shared" si="0"/>
        <v>91.2958924915593</v>
      </c>
      <c r="L63" s="26">
        <f t="shared" si="1"/>
        <v>99.60466660751013</v>
      </c>
      <c r="M63" s="44"/>
    </row>
    <row r="64" spans="2:13" ht="18">
      <c r="B64" s="95" t="s">
        <v>110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2:13" s="40" customFormat="1" ht="6" customHeight="1">
      <c r="B65" s="45"/>
      <c r="C65" s="46"/>
      <c r="D65" s="46"/>
      <c r="E65" s="46"/>
      <c r="F65" s="47"/>
      <c r="G65" s="47"/>
      <c r="H65" s="47"/>
      <c r="I65" s="47"/>
      <c r="J65" s="47"/>
      <c r="K65" s="1"/>
      <c r="L65" s="1"/>
      <c r="M65" s="48"/>
    </row>
    <row r="66" spans="2:27" ht="29.25" customHeight="1">
      <c r="B66" s="118" t="s">
        <v>0</v>
      </c>
      <c r="C66" s="112" t="s">
        <v>51</v>
      </c>
      <c r="D66" s="112" t="s">
        <v>52</v>
      </c>
      <c r="E66" s="112" t="s">
        <v>53</v>
      </c>
      <c r="F66" s="112" t="s">
        <v>12</v>
      </c>
      <c r="G66" s="112"/>
      <c r="H66" s="112"/>
      <c r="I66" s="112" t="s">
        <v>93</v>
      </c>
      <c r="J66" s="112"/>
      <c r="K66" s="112" t="s">
        <v>2</v>
      </c>
      <c r="L66" s="115" t="s">
        <v>31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</row>
    <row r="67" spans="2:27" ht="18" customHeight="1">
      <c r="B67" s="118"/>
      <c r="C67" s="112"/>
      <c r="D67" s="107"/>
      <c r="E67" s="112"/>
      <c r="F67" s="102" t="s">
        <v>54</v>
      </c>
      <c r="G67" s="113" t="s">
        <v>30</v>
      </c>
      <c r="H67" s="107"/>
      <c r="I67" s="112"/>
      <c r="J67" s="112"/>
      <c r="K67" s="112"/>
      <c r="L67" s="115"/>
      <c r="M67" s="2"/>
      <c r="N67" s="3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</row>
    <row r="68" spans="2:27" ht="36" customHeight="1">
      <c r="B68" s="118"/>
      <c r="C68" s="112"/>
      <c r="D68" s="107"/>
      <c r="E68" s="112"/>
      <c r="F68" s="107"/>
      <c r="G68" s="7" t="s">
        <v>49</v>
      </c>
      <c r="H68" s="7" t="s">
        <v>50</v>
      </c>
      <c r="I68" s="112"/>
      <c r="J68" s="112"/>
      <c r="K68" s="112"/>
      <c r="L68" s="115"/>
      <c r="M68" s="2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2:27" ht="13.5" customHeight="1">
      <c r="B69" s="118"/>
      <c r="C69" s="94" t="s">
        <v>84</v>
      </c>
      <c r="D69" s="94"/>
      <c r="E69" s="94"/>
      <c r="F69" s="94"/>
      <c r="G69" s="94"/>
      <c r="H69" s="94"/>
      <c r="I69" s="94"/>
      <c r="J69" s="94"/>
      <c r="K69" s="94" t="s">
        <v>4</v>
      </c>
      <c r="L69" s="94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</row>
    <row r="70" spans="2:27" ht="11.25" customHeight="1">
      <c r="B70" s="6">
        <v>1</v>
      </c>
      <c r="C70" s="8">
        <v>2</v>
      </c>
      <c r="D70" s="8">
        <v>3</v>
      </c>
      <c r="E70" s="8">
        <v>4</v>
      </c>
      <c r="F70" s="6">
        <v>5</v>
      </c>
      <c r="G70" s="6">
        <v>6</v>
      </c>
      <c r="H70" s="8">
        <v>7</v>
      </c>
      <c r="I70" s="107">
        <v>8</v>
      </c>
      <c r="J70" s="107"/>
      <c r="K70" s="6">
        <v>9</v>
      </c>
      <c r="L70" s="8">
        <v>10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</row>
    <row r="71" spans="2:12" ht="25.5" customHeight="1">
      <c r="B71" s="21" t="s">
        <v>71</v>
      </c>
      <c r="C71" s="50">
        <f>110861883274.79</f>
        <v>110861883274.79</v>
      </c>
      <c r="D71" s="50">
        <f>103534190964.87</f>
        <v>103534190964.87</v>
      </c>
      <c r="E71" s="50">
        <f>103502167808.47</f>
        <v>103502167808.47</v>
      </c>
      <c r="F71" s="50">
        <f>5120337350.33</f>
        <v>5120337350.33</v>
      </c>
      <c r="G71" s="50">
        <f>175142.27</f>
        <v>175142.27</v>
      </c>
      <c r="H71" s="50">
        <f>4509416.85</f>
        <v>4509416.85</v>
      </c>
      <c r="I71" s="114">
        <f>382356477.57</f>
        <v>382356477.57</v>
      </c>
      <c r="J71" s="114"/>
      <c r="K71" s="51">
        <f aca="true" t="shared" si="6" ref="K71:K80">IF($E$71=0,"",100*$E71/$E$71)</f>
        <v>100</v>
      </c>
      <c r="L71" s="51">
        <f aca="true" t="shared" si="7" ref="L71:L80">IF(C71=0,"",100*E71/C71)</f>
        <v>93.36136528722167</v>
      </c>
    </row>
    <row r="72" spans="2:12" ht="12.75">
      <c r="B72" s="21" t="s">
        <v>14</v>
      </c>
      <c r="C72" s="52">
        <f>18627863967.88</f>
        <v>18627863967.88</v>
      </c>
      <c r="D72" s="52">
        <f>15248756461.49</f>
        <v>15248756461.49</v>
      </c>
      <c r="E72" s="52">
        <f>15226009655.55</f>
        <v>15226009655.55</v>
      </c>
      <c r="F72" s="52">
        <f>917644238.92</f>
        <v>917644238.92</v>
      </c>
      <c r="G72" s="52">
        <f>1624.36</f>
        <v>1624.36</v>
      </c>
      <c r="H72" s="52">
        <f>130438.18</f>
        <v>130438.18</v>
      </c>
      <c r="I72" s="109">
        <f>358870377.21</f>
        <v>358870377.21</v>
      </c>
      <c r="J72" s="109"/>
      <c r="K72" s="51">
        <f t="shared" si="6"/>
        <v>14.710812322042973</v>
      </c>
      <c r="L72" s="51">
        <f t="shared" si="7"/>
        <v>81.73781858083238</v>
      </c>
    </row>
    <row r="73" spans="2:12" ht="12.75">
      <c r="B73" s="27" t="s">
        <v>13</v>
      </c>
      <c r="C73" s="28">
        <f>17364076705.7</f>
        <v>17364076705.7</v>
      </c>
      <c r="D73" s="28">
        <f>14082199521.19</f>
        <v>14082199521.19</v>
      </c>
      <c r="E73" s="28">
        <f>14059452715.25</f>
        <v>14059452715.25</v>
      </c>
      <c r="F73" s="28">
        <f>839176434.5</f>
        <v>839176434.5</v>
      </c>
      <c r="G73" s="28">
        <f>1624.36</f>
        <v>1624.36</v>
      </c>
      <c r="H73" s="28">
        <f>130438.18</f>
        <v>130438.18</v>
      </c>
      <c r="I73" s="108">
        <f>358870377.21</f>
        <v>358870377.21</v>
      </c>
      <c r="J73" s="108"/>
      <c r="K73" s="54">
        <f t="shared" si="6"/>
        <v>13.583727773960169</v>
      </c>
      <c r="L73" s="54">
        <f t="shared" si="7"/>
        <v>80.96861672256256</v>
      </c>
    </row>
    <row r="74" spans="2:12" ht="25.5" customHeight="1">
      <c r="B74" s="21" t="s">
        <v>72</v>
      </c>
      <c r="C74" s="52">
        <f aca="true" t="shared" si="8" ref="C74:I74">C71-C72</f>
        <v>92234019306.90999</v>
      </c>
      <c r="D74" s="52">
        <f t="shared" si="8"/>
        <v>88285434503.37999</v>
      </c>
      <c r="E74" s="52">
        <f t="shared" si="8"/>
        <v>88276158152.92</v>
      </c>
      <c r="F74" s="52">
        <f t="shared" si="8"/>
        <v>4202693111.41</v>
      </c>
      <c r="G74" s="52">
        <f t="shared" si="8"/>
        <v>173517.91</v>
      </c>
      <c r="H74" s="52">
        <f t="shared" si="8"/>
        <v>4378978.67</v>
      </c>
      <c r="I74" s="109">
        <f t="shared" si="8"/>
        <v>23486100.360000014</v>
      </c>
      <c r="J74" s="109"/>
      <c r="K74" s="51">
        <f t="shared" si="6"/>
        <v>85.28918767795703</v>
      </c>
      <c r="L74" s="51">
        <f t="shared" si="7"/>
        <v>95.70889224634118</v>
      </c>
    </row>
    <row r="75" spans="2:12" ht="24" customHeight="1">
      <c r="B75" s="27" t="s">
        <v>108</v>
      </c>
      <c r="C75" s="28">
        <f>33213744136.76</f>
        <v>33213744136.76</v>
      </c>
      <c r="D75" s="28">
        <f>32508429756.37</f>
        <v>32508429756.37</v>
      </c>
      <c r="E75" s="28">
        <f>32508279695.43</f>
        <v>32508279695.43</v>
      </c>
      <c r="F75" s="28">
        <f>2962595633.94</f>
        <v>2962595633.94</v>
      </c>
      <c r="G75" s="28">
        <f>6451.17</f>
        <v>6451.17</v>
      </c>
      <c r="H75" s="28">
        <f>29366.33</f>
        <v>29366.33</v>
      </c>
      <c r="I75" s="108">
        <f>1500</f>
        <v>1500</v>
      </c>
      <c r="J75" s="108"/>
      <c r="K75" s="54">
        <f t="shared" si="6"/>
        <v>31.40830804199805</v>
      </c>
      <c r="L75" s="54">
        <f t="shared" si="7"/>
        <v>97.87598640362496</v>
      </c>
    </row>
    <row r="76" spans="2:12" ht="13.5" customHeight="1">
      <c r="B76" s="27" t="s">
        <v>48</v>
      </c>
      <c r="C76" s="55">
        <f>9977435657.2</f>
        <v>9977435657.2</v>
      </c>
      <c r="D76" s="55">
        <f>9752769255.71</f>
        <v>9752769255.71</v>
      </c>
      <c r="E76" s="55">
        <f>9749915147.76</f>
        <v>9749915147.76</v>
      </c>
      <c r="F76" s="55">
        <f>8063057.9</f>
        <v>8063057.9</v>
      </c>
      <c r="G76" s="55">
        <f>0</f>
        <v>0</v>
      </c>
      <c r="H76" s="55">
        <f>0</f>
        <v>0</v>
      </c>
      <c r="I76" s="116">
        <f>55100</f>
        <v>55100</v>
      </c>
      <c r="J76" s="116"/>
      <c r="K76" s="54">
        <f t="shared" si="6"/>
        <v>9.42001057002221</v>
      </c>
      <c r="L76" s="54">
        <f t="shared" si="7"/>
        <v>97.719649444436</v>
      </c>
    </row>
    <row r="77" spans="2:12" ht="12.75">
      <c r="B77" s="27" t="s">
        <v>47</v>
      </c>
      <c r="C77" s="28">
        <f>1010979343.13</f>
        <v>1010979343.13</v>
      </c>
      <c r="D77" s="28">
        <f>739807512.2</f>
        <v>739807512.2</v>
      </c>
      <c r="E77" s="28">
        <f>739604354.9</f>
        <v>739604354.9</v>
      </c>
      <c r="F77" s="28">
        <f>11297678.62</f>
        <v>11297678.62</v>
      </c>
      <c r="G77" s="28">
        <f>0</f>
        <v>0</v>
      </c>
      <c r="H77" s="28">
        <f>0</f>
        <v>0</v>
      </c>
      <c r="I77" s="108">
        <f>0</f>
        <v>0</v>
      </c>
      <c r="J77" s="108"/>
      <c r="K77" s="54">
        <f t="shared" si="6"/>
        <v>0.7145786127577853</v>
      </c>
      <c r="L77" s="54">
        <f t="shared" si="7"/>
        <v>73.15721729884007</v>
      </c>
    </row>
    <row r="78" spans="2:12" ht="22.5" customHeight="1">
      <c r="B78" s="27" t="s">
        <v>75</v>
      </c>
      <c r="C78" s="55">
        <f>74641709.7</f>
        <v>74641709.7</v>
      </c>
      <c r="D78" s="55">
        <f>4814507.5</f>
        <v>4814507.5</v>
      </c>
      <c r="E78" s="55">
        <f>4814507.5</f>
        <v>4814507.5</v>
      </c>
      <c r="F78" s="55">
        <f>0</f>
        <v>0</v>
      </c>
      <c r="G78" s="55">
        <f>0</f>
        <v>0</v>
      </c>
      <c r="H78" s="55">
        <f>0</f>
        <v>0</v>
      </c>
      <c r="I78" s="116">
        <f>0</f>
        <v>0</v>
      </c>
      <c r="J78" s="116"/>
      <c r="K78" s="54">
        <f t="shared" si="6"/>
        <v>0.004651600639813854</v>
      </c>
      <c r="L78" s="54">
        <f t="shared" si="7"/>
        <v>6.450157049390309</v>
      </c>
    </row>
    <row r="79" spans="2:12" ht="22.5" customHeight="1">
      <c r="B79" s="27" t="s">
        <v>77</v>
      </c>
      <c r="C79" s="55">
        <f>17749968186.95</f>
        <v>17749968186.95</v>
      </c>
      <c r="D79" s="55">
        <f>17615640904.61</f>
        <v>17615640904.61</v>
      </c>
      <c r="E79" s="55">
        <f>17614520036.47</f>
        <v>17614520036.47</v>
      </c>
      <c r="F79" s="55">
        <f>145118750.35</f>
        <v>145118750.35</v>
      </c>
      <c r="G79" s="55">
        <f>0</f>
        <v>0</v>
      </c>
      <c r="H79" s="55">
        <f>970020.44</f>
        <v>970020.44</v>
      </c>
      <c r="I79" s="110">
        <f>64480</f>
        <v>64480</v>
      </c>
      <c r="J79" s="111"/>
      <c r="K79" s="54">
        <f t="shared" si="6"/>
        <v>17.01850348590335</v>
      </c>
      <c r="L79" s="54">
        <f t="shared" si="7"/>
        <v>99.23691046060813</v>
      </c>
    </row>
    <row r="80" spans="2:12" ht="12.75">
      <c r="B80" s="27" t="s">
        <v>46</v>
      </c>
      <c r="C80" s="28">
        <f aca="true" t="shared" si="9" ref="C80:I80">C74-C75-C76-C77-C78-C79</f>
        <v>30207250273.170002</v>
      </c>
      <c r="D80" s="28">
        <f t="shared" si="9"/>
        <v>27663972566.989998</v>
      </c>
      <c r="E80" s="28">
        <f t="shared" si="9"/>
        <v>27659024410.859993</v>
      </c>
      <c r="F80" s="28">
        <f t="shared" si="9"/>
        <v>1075617990.6</v>
      </c>
      <c r="G80" s="28">
        <f t="shared" si="9"/>
        <v>167066.74</v>
      </c>
      <c r="H80" s="28">
        <f t="shared" si="9"/>
        <v>3379591.9</v>
      </c>
      <c r="I80" s="110">
        <f t="shared" si="9"/>
        <v>23365020.360000014</v>
      </c>
      <c r="J80" s="111"/>
      <c r="K80" s="54">
        <f t="shared" si="6"/>
        <v>26.723135366635812</v>
      </c>
      <c r="L80" s="54">
        <f t="shared" si="7"/>
        <v>91.56419124790933</v>
      </c>
    </row>
    <row r="81" spans="2:13" ht="12.75">
      <c r="B81" s="21" t="s">
        <v>15</v>
      </c>
      <c r="C81" s="53">
        <f>C5-C71</f>
        <v>-10114054479.179993</v>
      </c>
      <c r="D81" s="53"/>
      <c r="E81" s="53">
        <f>D5-E71</f>
        <v>-3187738548</v>
      </c>
      <c r="F81" s="53"/>
      <c r="G81" s="53"/>
      <c r="H81" s="53"/>
      <c r="I81" s="109"/>
      <c r="J81" s="109"/>
      <c r="K81" s="56"/>
      <c r="L81" s="56"/>
      <c r="M81" s="4"/>
    </row>
    <row r="82" spans="2:13" ht="22.5">
      <c r="B82" s="21" t="s">
        <v>83</v>
      </c>
      <c r="C82" s="53">
        <f>+C63-C74</f>
        <v>-287570801.59999084</v>
      </c>
      <c r="D82" s="53"/>
      <c r="E82" s="53">
        <f>+D63-E74</f>
        <v>3306795338.2400055</v>
      </c>
      <c r="F82" s="53"/>
      <c r="G82" s="53"/>
      <c r="H82" s="53"/>
      <c r="I82" s="53"/>
      <c r="J82" s="53"/>
      <c r="K82" s="56"/>
      <c r="L82" s="56"/>
      <c r="M82" s="4"/>
    </row>
    <row r="83" spans="2:13" ht="8.25" customHeight="1">
      <c r="B83" s="57"/>
      <c r="C83" s="58"/>
      <c r="D83" s="58"/>
      <c r="E83" s="58"/>
      <c r="F83" s="59"/>
      <c r="G83" s="59"/>
      <c r="H83" s="59"/>
      <c r="I83" s="59"/>
      <c r="J83" s="60"/>
      <c r="K83" s="60"/>
      <c r="L83" s="61"/>
      <c r="M83" s="49"/>
    </row>
    <row r="84" spans="2:13" ht="12.75">
      <c r="B84" s="62" t="s">
        <v>80</v>
      </c>
      <c r="C84" s="63"/>
      <c r="D84" s="64"/>
      <c r="E84" s="64"/>
      <c r="F84" s="65"/>
      <c r="G84" s="65"/>
      <c r="H84" s="65"/>
      <c r="I84" s="65"/>
      <c r="J84" s="66"/>
      <c r="K84" s="66"/>
      <c r="L84" s="66"/>
      <c r="M84" s="49"/>
    </row>
    <row r="85" spans="2:13" ht="26.25" customHeight="1">
      <c r="B85" s="21" t="s">
        <v>98</v>
      </c>
      <c r="C85" s="67">
        <f>8389271198.31</f>
        <v>8389271198.31</v>
      </c>
      <c r="D85" s="68">
        <f>6677020246.07</f>
        <v>6677020246.07</v>
      </c>
      <c r="E85" s="68">
        <f>6671041571.17</f>
        <v>6671041571.17</v>
      </c>
      <c r="F85" s="68">
        <f>260815949.57</f>
        <v>260815949.57</v>
      </c>
      <c r="G85" s="68">
        <f>0</f>
        <v>0</v>
      </c>
      <c r="H85" s="68">
        <f>0</f>
        <v>0</v>
      </c>
      <c r="I85" s="68">
        <f>115250153.37</f>
        <v>115250153.37</v>
      </c>
      <c r="J85" s="68">
        <f>0</f>
        <v>0</v>
      </c>
      <c r="K85" s="51">
        <f>IF($E$71=0,"",100*$E85/$E$85)</f>
        <v>100</v>
      </c>
      <c r="L85" s="51">
        <f>IF(C85=0,"",100*E85/C85)</f>
        <v>79.51872592358042</v>
      </c>
      <c r="M85" s="49"/>
    </row>
    <row r="86" spans="2:13" ht="15" customHeight="1">
      <c r="B86" s="69" t="s">
        <v>81</v>
      </c>
      <c r="C86" s="70">
        <f>7294010544.31</f>
        <v>7294010544.31</v>
      </c>
      <c r="D86" s="55">
        <f>5979091936.78</f>
        <v>5979091936.78</v>
      </c>
      <c r="E86" s="55">
        <f>5975822430.67</f>
        <v>5975822430.67</v>
      </c>
      <c r="F86" s="55">
        <f>251046942.6</f>
        <v>251046942.6</v>
      </c>
      <c r="G86" s="55">
        <f>0</f>
        <v>0</v>
      </c>
      <c r="H86" s="55">
        <f>0</f>
        <v>0</v>
      </c>
      <c r="I86" s="55">
        <f>115245153.37</f>
        <v>115245153.37</v>
      </c>
      <c r="J86" s="55">
        <f>0</f>
        <v>0</v>
      </c>
      <c r="K86" s="54">
        <f>IF($E$71=0,"",100*$E86/$E$85)</f>
        <v>89.57855181858702</v>
      </c>
      <c r="L86" s="71">
        <f>IF(C86=0,"",100*E86/C86)</f>
        <v>81.92780082189066</v>
      </c>
      <c r="M86" s="49"/>
    </row>
    <row r="87" spans="2:12" ht="12.75">
      <c r="B87" s="72" t="s">
        <v>82</v>
      </c>
      <c r="C87" s="70">
        <f>C85-C86</f>
        <v>1095260654</v>
      </c>
      <c r="D87" s="55">
        <f aca="true" t="shared" si="10" ref="D87:J87">D85-D86</f>
        <v>697928309.29</v>
      </c>
      <c r="E87" s="55">
        <f t="shared" si="10"/>
        <v>695219140.5</v>
      </c>
      <c r="F87" s="55">
        <f t="shared" si="10"/>
        <v>9769006.969999999</v>
      </c>
      <c r="G87" s="55">
        <f t="shared" si="10"/>
        <v>0</v>
      </c>
      <c r="H87" s="55">
        <f t="shared" si="10"/>
        <v>0</v>
      </c>
      <c r="I87" s="55">
        <f t="shared" si="10"/>
        <v>5000</v>
      </c>
      <c r="J87" s="55">
        <f t="shared" si="10"/>
        <v>0</v>
      </c>
      <c r="K87" s="54">
        <f>IF($E$71=0,"",100*$E87/$E$85)</f>
        <v>10.421448181412982</v>
      </c>
      <c r="L87" s="71">
        <f>IF(C87=0,"",100*E87/C87)</f>
        <v>63.47522281212158</v>
      </c>
    </row>
    <row r="88" ht="6" customHeight="1"/>
    <row r="89" spans="2:13" ht="18">
      <c r="B89" s="95" t="s">
        <v>110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ht="6.75" customHeight="1"/>
    <row r="91" spans="2:8" ht="12.75">
      <c r="B91" s="12" t="s">
        <v>16</v>
      </c>
      <c r="C91" s="101" t="s">
        <v>17</v>
      </c>
      <c r="D91" s="93"/>
      <c r="E91" s="101" t="s">
        <v>1</v>
      </c>
      <c r="F91" s="93"/>
      <c r="G91" s="8" t="s">
        <v>25</v>
      </c>
      <c r="H91" s="8" t="s">
        <v>26</v>
      </c>
    </row>
    <row r="92" spans="2:8" ht="12.75">
      <c r="B92" s="12"/>
      <c r="C92" s="102" t="s">
        <v>84</v>
      </c>
      <c r="D92" s="103"/>
      <c r="E92" s="103"/>
      <c r="F92" s="104"/>
      <c r="G92" s="105" t="s">
        <v>4</v>
      </c>
      <c r="H92" s="106"/>
    </row>
    <row r="93" spans="2:8" ht="12.75">
      <c r="B93" s="10">
        <v>1</v>
      </c>
      <c r="C93" s="13">
        <v>2</v>
      </c>
      <c r="D93" s="14"/>
      <c r="E93" s="13">
        <v>3</v>
      </c>
      <c r="F93" s="14"/>
      <c r="G93" s="11">
        <v>4</v>
      </c>
      <c r="H93" s="11">
        <v>5</v>
      </c>
    </row>
    <row r="94" spans="2:8" ht="22.5">
      <c r="B94" s="73" t="s">
        <v>73</v>
      </c>
      <c r="C94" s="74">
        <f>14742824702.39</f>
        <v>14742824702.39</v>
      </c>
      <c r="D94" s="75"/>
      <c r="E94" s="74">
        <f>15165507745.5</f>
        <v>15165507745.5</v>
      </c>
      <c r="F94" s="75"/>
      <c r="G94" s="76">
        <f>IF($E$94=0,"",100*$E94/$E$94)</f>
        <v>100</v>
      </c>
      <c r="H94" s="51">
        <f>IF(C94=0,"",100*E94/C94)</f>
        <v>102.86704245382147</v>
      </c>
    </row>
    <row r="95" spans="2:8" ht="33.75">
      <c r="B95" s="77" t="s">
        <v>99</v>
      </c>
      <c r="C95" s="78">
        <f>9660239028.73</f>
        <v>9660239028.73</v>
      </c>
      <c r="D95" s="79"/>
      <c r="E95" s="78">
        <f>8819587896</f>
        <v>8819587896</v>
      </c>
      <c r="F95" s="79"/>
      <c r="G95" s="80">
        <f aca="true" t="shared" si="11" ref="G95:G101">IF($E$94=0,"",100*$E95/$E$94)</f>
        <v>58.15557279061099</v>
      </c>
      <c r="H95" s="81">
        <f aca="true" t="shared" si="12" ref="H95:H107">IF(C95=0,"",100*E95/C95)</f>
        <v>91.2978226498344</v>
      </c>
    </row>
    <row r="96" spans="2:8" ht="22.5">
      <c r="B96" s="82" t="s">
        <v>100</v>
      </c>
      <c r="C96" s="83">
        <f>667600000</f>
        <v>667600000</v>
      </c>
      <c r="D96" s="84"/>
      <c r="E96" s="83">
        <f>635000000</f>
        <v>635000000</v>
      </c>
      <c r="F96" s="84"/>
      <c r="G96" s="85">
        <f t="shared" si="11"/>
        <v>4.187133135640783</v>
      </c>
      <c r="H96" s="71">
        <f t="shared" si="12"/>
        <v>95.1168364289994</v>
      </c>
    </row>
    <row r="97" spans="2:8" ht="12.75">
      <c r="B97" s="82" t="s">
        <v>101</v>
      </c>
      <c r="C97" s="83">
        <f>121599154</f>
        <v>121599154</v>
      </c>
      <c r="D97" s="84"/>
      <c r="E97" s="83">
        <f>54401502.83</f>
        <v>54401502.83</v>
      </c>
      <c r="F97" s="84"/>
      <c r="G97" s="85">
        <f t="shared" si="11"/>
        <v>0.3587186379970848</v>
      </c>
      <c r="H97" s="71">
        <f t="shared" si="12"/>
        <v>44.73838924076725</v>
      </c>
    </row>
    <row r="98" spans="2:8" ht="12.75">
      <c r="B98" s="82" t="s">
        <v>102</v>
      </c>
      <c r="C98" s="83">
        <f>53448302.01</f>
        <v>53448302.01</v>
      </c>
      <c r="D98" s="84"/>
      <c r="E98" s="83">
        <f>102186218.23</f>
        <v>102186218.23</v>
      </c>
      <c r="F98" s="84"/>
      <c r="G98" s="85">
        <f t="shared" si="11"/>
        <v>0.673806772215202</v>
      </c>
      <c r="H98" s="71">
        <f t="shared" si="12"/>
        <v>191.18702444631694</v>
      </c>
    </row>
    <row r="99" spans="2:8" ht="45.75" customHeight="1">
      <c r="B99" s="82" t="s">
        <v>109</v>
      </c>
      <c r="C99" s="83">
        <f>357484260.95</f>
        <v>357484260.95</v>
      </c>
      <c r="D99" s="84"/>
      <c r="E99" s="83">
        <f>391622638.15</f>
        <v>391622638.15</v>
      </c>
      <c r="F99" s="84"/>
      <c r="G99" s="85">
        <f t="shared" si="11"/>
        <v>2.5823246060864964</v>
      </c>
      <c r="H99" s="71">
        <f t="shared" si="12"/>
        <v>109.54961684446712</v>
      </c>
    </row>
    <row r="100" spans="2:8" ht="12.75">
      <c r="B100" s="82" t="s">
        <v>103</v>
      </c>
      <c r="C100" s="83">
        <f>0</f>
        <v>0</v>
      </c>
      <c r="D100" s="84"/>
      <c r="E100" s="83">
        <f>0</f>
        <v>0</v>
      </c>
      <c r="F100" s="84"/>
      <c r="G100" s="85">
        <f t="shared" si="11"/>
        <v>0</v>
      </c>
      <c r="H100" s="71">
        <f t="shared" si="12"/>
      </c>
    </row>
    <row r="101" spans="2:8" ht="37.5" customHeight="1">
      <c r="B101" s="82" t="s">
        <v>107</v>
      </c>
      <c r="C101" s="83">
        <f>4546991783.7</f>
        <v>4546991783.7</v>
      </c>
      <c r="D101" s="84"/>
      <c r="E101" s="83">
        <f>5794636283.1</f>
        <v>5794636283.1</v>
      </c>
      <c r="F101" s="84"/>
      <c r="G101" s="85">
        <f t="shared" si="11"/>
        <v>38.2093127400856</v>
      </c>
      <c r="H101" s="71">
        <f t="shared" si="12"/>
        <v>127.43889935918821</v>
      </c>
    </row>
    <row r="102" spans="2:8" ht="12.75">
      <c r="B102" s="82" t="s">
        <v>86</v>
      </c>
      <c r="C102" s="83">
        <f>3062173</f>
        <v>3062173</v>
      </c>
      <c r="D102" s="84"/>
      <c r="E102" s="83">
        <f>3073207.19</f>
        <v>3073207.19</v>
      </c>
      <c r="F102" s="84"/>
      <c r="G102" s="85"/>
      <c r="H102" s="71"/>
    </row>
    <row r="103" spans="2:8" ht="22.5">
      <c r="B103" s="86" t="s">
        <v>74</v>
      </c>
      <c r="C103" s="87">
        <f>4564725221.21</f>
        <v>4564725221.21</v>
      </c>
      <c r="D103" s="88"/>
      <c r="E103" s="87">
        <f>3443042606.29</f>
        <v>3443042606.29</v>
      </c>
      <c r="F103" s="88"/>
      <c r="G103" s="89">
        <f>IF($E$103=0,"",100*$E103/$E$103)</f>
        <v>100</v>
      </c>
      <c r="H103" s="51">
        <f t="shared" si="12"/>
        <v>75.42716022186613</v>
      </c>
    </row>
    <row r="104" spans="2:8" ht="33.75">
      <c r="B104" s="82" t="s">
        <v>104</v>
      </c>
      <c r="C104" s="83">
        <f>3500237746.4</f>
        <v>3500237746.4</v>
      </c>
      <c r="D104" s="84"/>
      <c r="E104" s="83">
        <f>3240976928.36</f>
        <v>3240976928.36</v>
      </c>
      <c r="F104" s="84"/>
      <c r="G104" s="85">
        <f>IF($E$103=0,"",100*$E104/$E$103)</f>
        <v>94.13118857254767</v>
      </c>
      <c r="H104" s="71">
        <f t="shared" si="12"/>
        <v>92.5930511918326</v>
      </c>
    </row>
    <row r="105" spans="2:8" ht="22.5">
      <c r="B105" s="82" t="s">
        <v>105</v>
      </c>
      <c r="C105" s="83">
        <f>486000000</f>
        <v>486000000</v>
      </c>
      <c r="D105" s="84"/>
      <c r="E105" s="83">
        <f>229555553</f>
        <v>229555553</v>
      </c>
      <c r="F105" s="84"/>
      <c r="G105" s="85">
        <f>IF($E$103=0,"",100*$E105/$E$103)</f>
        <v>6.667229519048973</v>
      </c>
      <c r="H105" s="71">
        <f t="shared" si="12"/>
        <v>47.23365288065844</v>
      </c>
    </row>
    <row r="106" spans="2:8" ht="12.75">
      <c r="B106" s="82" t="s">
        <v>106</v>
      </c>
      <c r="C106" s="83">
        <f>105508739.71</f>
        <v>105508739.71</v>
      </c>
      <c r="D106" s="84"/>
      <c r="E106" s="83">
        <f>69445358.4</f>
        <v>69445358.4</v>
      </c>
      <c r="F106" s="84"/>
      <c r="G106" s="85">
        <f>IF($E$103=0,"",100*$E106/$E$103)</f>
        <v>2.0169764461564372</v>
      </c>
      <c r="H106" s="71">
        <f t="shared" si="12"/>
        <v>65.81953171924587</v>
      </c>
    </row>
    <row r="107" spans="2:8" ht="12.75">
      <c r="B107" s="82" t="s">
        <v>29</v>
      </c>
      <c r="C107" s="83">
        <f>958978735.1</f>
        <v>958978735.1</v>
      </c>
      <c r="D107" s="84"/>
      <c r="E107" s="83">
        <f>132620319.53</f>
        <v>132620319.53</v>
      </c>
      <c r="F107" s="84"/>
      <c r="G107" s="85">
        <f>IF($E$103=0,"",100*$E107/$E$103)</f>
        <v>3.851834981295892</v>
      </c>
      <c r="H107" s="71">
        <f t="shared" si="12"/>
        <v>13.82932850082131</v>
      </c>
    </row>
    <row r="108" spans="2:8" ht="12.75">
      <c r="B108" s="40"/>
      <c r="C108" s="40"/>
      <c r="D108" s="40"/>
      <c r="E108" s="40"/>
      <c r="F108" s="40"/>
      <c r="G108" s="40"/>
      <c r="H108" s="40"/>
    </row>
    <row r="109" spans="2:6" ht="12.75">
      <c r="B109" s="15" t="s">
        <v>16</v>
      </c>
      <c r="C109" s="96" t="s">
        <v>17</v>
      </c>
      <c r="D109" s="97"/>
      <c r="E109" s="96" t="s">
        <v>1</v>
      </c>
      <c r="F109" s="97"/>
    </row>
    <row r="110" spans="2:6" ht="12.75">
      <c r="B110" s="16"/>
      <c r="C110" s="98" t="s">
        <v>84</v>
      </c>
      <c r="D110" s="99"/>
      <c r="E110" s="99"/>
      <c r="F110" s="100"/>
    </row>
    <row r="111" spans="2:6" ht="12.75">
      <c r="B111" s="17">
        <v>1</v>
      </c>
      <c r="C111" s="18">
        <v>2</v>
      </c>
      <c r="D111" s="19"/>
      <c r="E111" s="18">
        <v>3</v>
      </c>
      <c r="F111" s="19"/>
    </row>
    <row r="112" spans="2:6" ht="28.5" customHeight="1">
      <c r="B112" s="90" t="s">
        <v>87</v>
      </c>
      <c r="C112" s="83">
        <f>10180596455.74</f>
        <v>10180596455.74</v>
      </c>
      <c r="D112" s="84"/>
      <c r="E112" s="83">
        <f>3744427387.9</f>
        <v>3744427387.9</v>
      </c>
      <c r="F112" s="91"/>
    </row>
    <row r="113" spans="2:6" ht="56.25">
      <c r="B113" s="90" t="s">
        <v>88</v>
      </c>
      <c r="C113" s="83">
        <f>657600000</f>
        <v>657600000</v>
      </c>
      <c r="D113" s="84"/>
      <c r="E113" s="83">
        <f>404048924.14</f>
        <v>404048924.14</v>
      </c>
      <c r="F113" s="84"/>
    </row>
    <row r="114" spans="2:6" ht="12.75">
      <c r="B114" s="90" t="s">
        <v>89</v>
      </c>
      <c r="C114" s="83">
        <f>6345177405.01</f>
        <v>6345177405.01</v>
      </c>
      <c r="D114" s="84"/>
      <c r="E114" s="83">
        <f>2933264931.4</f>
        <v>2933264931.4</v>
      </c>
      <c r="F114" s="84"/>
    </row>
    <row r="115" spans="2:6" ht="24.75" customHeight="1">
      <c r="B115" s="90" t="s">
        <v>90</v>
      </c>
      <c r="C115" s="83">
        <f>0</f>
        <v>0</v>
      </c>
      <c r="D115" s="84"/>
      <c r="E115" s="83">
        <f>0</f>
        <v>0</v>
      </c>
      <c r="F115" s="84"/>
    </row>
    <row r="116" spans="2:6" ht="33.75">
      <c r="B116" s="90" t="s">
        <v>91</v>
      </c>
      <c r="C116" s="83">
        <f>53448302.01</f>
        <v>53448302.01</v>
      </c>
      <c r="D116" s="84"/>
      <c r="E116" s="83">
        <f>0</f>
        <v>0</v>
      </c>
      <c r="F116" s="84"/>
    </row>
    <row r="117" spans="2:6" ht="101.25">
      <c r="B117" s="90" t="s">
        <v>92</v>
      </c>
      <c r="C117" s="83">
        <f>2803392996.91</f>
        <v>2803392996.91</v>
      </c>
      <c r="D117" s="84"/>
      <c r="E117" s="83">
        <f>285448472.68</f>
        <v>285448472.68</v>
      </c>
      <c r="F117" s="84"/>
    </row>
    <row r="118" spans="2:8" ht="12.75">
      <c r="B118" s="92"/>
      <c r="C118" s="60"/>
      <c r="D118" s="60"/>
      <c r="E118" s="60"/>
      <c r="F118" s="60"/>
      <c r="G118" s="60"/>
      <c r="H118" s="60"/>
    </row>
  </sheetData>
  <sheetProtection/>
  <mergeCells count="37">
    <mergeCell ref="I75:J75"/>
    <mergeCell ref="I76:J76"/>
    <mergeCell ref="I77:J77"/>
    <mergeCell ref="I78:J78"/>
    <mergeCell ref="I80:J80"/>
    <mergeCell ref="B1:M1"/>
    <mergeCell ref="B2:B3"/>
    <mergeCell ref="C66:C68"/>
    <mergeCell ref="B66:B69"/>
    <mergeCell ref="K66:K68"/>
    <mergeCell ref="B89:M89"/>
    <mergeCell ref="I66:J68"/>
    <mergeCell ref="D66:D68"/>
    <mergeCell ref="E66:E68"/>
    <mergeCell ref="F67:F68"/>
    <mergeCell ref="F66:H66"/>
    <mergeCell ref="G67:H67"/>
    <mergeCell ref="I71:J71"/>
    <mergeCell ref="I72:J72"/>
    <mergeCell ref="L66:L68"/>
    <mergeCell ref="C91:D91"/>
    <mergeCell ref="E91:F91"/>
    <mergeCell ref="C92:F92"/>
    <mergeCell ref="G92:H92"/>
    <mergeCell ref="I70:J70"/>
    <mergeCell ref="I73:J73"/>
    <mergeCell ref="I74:J74"/>
    <mergeCell ref="I81:J81"/>
    <mergeCell ref="I79:J79"/>
    <mergeCell ref="K69:L69"/>
    <mergeCell ref="K3:M3"/>
    <mergeCell ref="C3:J3"/>
    <mergeCell ref="B64:M64"/>
    <mergeCell ref="C69:J69"/>
    <mergeCell ref="C109:D109"/>
    <mergeCell ref="E109:F109"/>
    <mergeCell ref="C110:F110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5" manualBreakCount="5">
    <brk id="22" max="255" man="1"/>
    <brk id="49" max="12" man="1"/>
    <brk id="63" max="255" man="1"/>
    <brk id="88" max="255" man="1"/>
    <brk id="10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2021-04-20T08:46:49Z</dcterms:modified>
  <cp:category/>
  <cp:version/>
  <cp:contentType/>
  <cp:contentStatus/>
</cp:coreProperties>
</file>