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7DF87F4A-866C-413F-8D9A-71E668D4F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4" i="4" l="1"/>
  <c r="C133" i="4"/>
  <c r="C132" i="4"/>
  <c r="C131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I93" i="4"/>
  <c r="H93" i="4"/>
  <c r="G93" i="4"/>
  <c r="F93" i="4"/>
  <c r="E93" i="4"/>
  <c r="E94" i="4" s="1"/>
  <c r="D93" i="4"/>
  <c r="C93" i="4"/>
  <c r="I92" i="4"/>
  <c r="H92" i="4"/>
  <c r="G92" i="4"/>
  <c r="F92" i="4"/>
  <c r="E92" i="4"/>
  <c r="D92" i="4"/>
  <c r="C92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56" i="4"/>
  <c r="H56" i="4"/>
  <c r="G56" i="4"/>
  <c r="F56" i="4"/>
  <c r="E56" i="4"/>
  <c r="D56" i="4"/>
  <c r="C56" i="4"/>
  <c r="D53" i="4"/>
  <c r="C53" i="4"/>
  <c r="D52" i="4"/>
  <c r="C52" i="4"/>
  <c r="D51" i="4"/>
  <c r="C51" i="4"/>
  <c r="D50" i="4"/>
  <c r="C50" i="4"/>
  <c r="D49" i="4"/>
  <c r="C49" i="4"/>
  <c r="D48" i="4"/>
  <c r="C48" i="4"/>
  <c r="K48" i="4" s="1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J34" i="4" s="1"/>
  <c r="C34" i="4"/>
  <c r="D33" i="4"/>
  <c r="C33" i="4"/>
  <c r="D32" i="4"/>
  <c r="K32" i="4" s="1"/>
  <c r="C32" i="4"/>
  <c r="D31" i="4"/>
  <c r="K31" i="4" s="1"/>
  <c r="C31" i="4"/>
  <c r="D30" i="4"/>
  <c r="C30" i="4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K23" i="4" s="1"/>
  <c r="I22" i="4"/>
  <c r="H22" i="4"/>
  <c r="G22" i="4"/>
  <c r="F22" i="4"/>
  <c r="E22" i="4"/>
  <c r="D22" i="4"/>
  <c r="J22" i="4" s="1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K17" i="4" s="1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J8" i="4" s="1"/>
  <c r="C8" i="4"/>
  <c r="I6" i="4"/>
  <c r="H6" i="4"/>
  <c r="G6" i="4"/>
  <c r="F6" i="4"/>
  <c r="E6" i="4"/>
  <c r="E7" i="4" s="1"/>
  <c r="D6" i="4"/>
  <c r="C6" i="4"/>
  <c r="C55" i="4" s="1"/>
  <c r="K106" i="4"/>
  <c r="K13" i="4"/>
  <c r="K110" i="4"/>
  <c r="K16" i="4"/>
  <c r="J72" i="4"/>
  <c r="J66" i="4"/>
  <c r="J70" i="4"/>
  <c r="J71" i="4"/>
  <c r="D69" i="4"/>
  <c r="J69" i="4" s="1"/>
  <c r="D75" i="4"/>
  <c r="J75" i="4" s="1"/>
  <c r="J73" i="4"/>
  <c r="J67" i="4"/>
  <c r="J74" i="4"/>
  <c r="J68" i="4"/>
  <c r="K38" i="4"/>
  <c r="J10" i="4"/>
  <c r="J39" i="4"/>
  <c r="J53" i="4"/>
  <c r="D55" i="4"/>
  <c r="J55" i="4" s="1"/>
  <c r="D57" i="4"/>
  <c r="J46" i="4"/>
  <c r="J17" i="4"/>
  <c r="J41" i="4"/>
  <c r="J6" i="4"/>
  <c r="J51" i="4"/>
  <c r="J16" i="4"/>
  <c r="J14" i="4"/>
  <c r="J35" i="4"/>
  <c r="J12" i="4"/>
  <c r="J52" i="4"/>
  <c r="J20" i="4"/>
  <c r="J50" i="4"/>
  <c r="J44" i="4"/>
  <c r="J49" i="4"/>
  <c r="J23" i="4"/>
  <c r="J33" i="4"/>
  <c r="J29" i="4"/>
  <c r="J56" i="4"/>
  <c r="J48" i="4"/>
  <c r="J30" i="4"/>
  <c r="J18" i="4"/>
  <c r="J42" i="4"/>
  <c r="J19" i="4"/>
  <c r="J15" i="4"/>
  <c r="J21" i="4"/>
  <c r="J43" i="4"/>
  <c r="J40" i="4"/>
  <c r="J47" i="4"/>
  <c r="J36" i="4"/>
  <c r="J38" i="4"/>
  <c r="J11" i="4"/>
  <c r="J45" i="4"/>
  <c r="J24" i="4"/>
  <c r="J9" i="4"/>
  <c r="J13" i="4"/>
  <c r="D76" i="4"/>
  <c r="J37" i="4"/>
  <c r="J28" i="4"/>
  <c r="K66" i="4"/>
  <c r="C69" i="4"/>
  <c r="K46" i="4"/>
  <c r="F7" i="4"/>
  <c r="F25" i="4"/>
  <c r="F55" i="4"/>
  <c r="F57" i="4"/>
  <c r="K70" i="4"/>
  <c r="K39" i="4"/>
  <c r="E69" i="4"/>
  <c r="E75" i="4"/>
  <c r="H7" i="4"/>
  <c r="H55" i="4"/>
  <c r="H57" i="4"/>
  <c r="K14" i="4"/>
  <c r="K111" i="4"/>
  <c r="K11" i="4"/>
  <c r="K51" i="4"/>
  <c r="K8" i="4"/>
  <c r="K74" i="4"/>
  <c r="K9" i="4"/>
  <c r="K33" i="4"/>
  <c r="K44" i="4"/>
  <c r="J93" i="4"/>
  <c r="J92" i="4"/>
  <c r="D94" i="4"/>
  <c r="J94" i="4"/>
  <c r="G7" i="4"/>
  <c r="G55" i="4"/>
  <c r="G57" i="4"/>
  <c r="K28" i="4"/>
  <c r="D131" i="4"/>
  <c r="B95" i="4" s="1"/>
  <c r="K100" i="4"/>
  <c r="I7" i="4"/>
  <c r="I55" i="4"/>
  <c r="I57" i="4"/>
  <c r="K103" i="4"/>
  <c r="K104" i="4"/>
  <c r="K72" i="4"/>
  <c r="K105" i="4"/>
  <c r="K116" i="4"/>
  <c r="K50" i="4"/>
  <c r="K40" i="4"/>
  <c r="J111" i="4"/>
  <c r="J113" i="4"/>
  <c r="J115" i="4"/>
  <c r="J116" i="4"/>
  <c r="J112" i="4"/>
  <c r="J114" i="4"/>
  <c r="K112" i="4"/>
  <c r="K20" i="4"/>
  <c r="K52" i="4"/>
  <c r="K92" i="4"/>
  <c r="C94" i="4"/>
  <c r="K94" i="4"/>
  <c r="K115" i="4"/>
  <c r="K21" i="4"/>
  <c r="K45" i="4"/>
  <c r="K68" i="4"/>
  <c r="K29" i="4"/>
  <c r="K41" i="4"/>
  <c r="K53" i="4"/>
  <c r="F94" i="4"/>
  <c r="J105" i="4"/>
  <c r="J102" i="4"/>
  <c r="J106" i="4"/>
  <c r="J104" i="4"/>
  <c r="J100" i="4"/>
  <c r="J103" i="4"/>
  <c r="J110" i="4"/>
  <c r="J101" i="4"/>
  <c r="J107" i="4"/>
  <c r="K10" i="4"/>
  <c r="G69" i="4"/>
  <c r="G75" i="4"/>
  <c r="K71" i="4"/>
  <c r="G94" i="4"/>
  <c r="K101" i="4"/>
  <c r="K107" i="4"/>
  <c r="K113" i="4"/>
  <c r="K30" i="4"/>
  <c r="K36" i="4"/>
  <c r="K42" i="4"/>
  <c r="K56" i="4"/>
  <c r="H69" i="4"/>
  <c r="H75" i="4"/>
  <c r="H94" i="4"/>
  <c r="K47" i="4"/>
  <c r="I69" i="4"/>
  <c r="I94" i="4"/>
  <c r="K102" i="4"/>
  <c r="K114" i="4"/>
  <c r="K15" i="4"/>
  <c r="K35" i="4"/>
  <c r="F69" i="4"/>
  <c r="F75" i="4" s="1"/>
  <c r="K12" i="4"/>
  <c r="K24" i="4"/>
  <c r="K73" i="4"/>
  <c r="K19" i="4"/>
  <c r="K37" i="4"/>
  <c r="K43" i="4"/>
  <c r="K49" i="4"/>
  <c r="K67" i="4"/>
  <c r="K93" i="4"/>
  <c r="B1" i="4"/>
  <c r="C75" i="4"/>
  <c r="H25" i="4" l="1"/>
  <c r="B59" i="4"/>
  <c r="I75" i="4"/>
  <c r="D77" i="4"/>
  <c r="K75" i="4"/>
  <c r="K69" i="4"/>
  <c r="J57" i="4"/>
  <c r="K34" i="4"/>
  <c r="C27" i="4"/>
  <c r="C26" i="4" s="1"/>
  <c r="C7" i="4" s="1"/>
  <c r="J32" i="4"/>
  <c r="D27" i="4"/>
  <c r="K27" i="4"/>
  <c r="J31" i="4"/>
  <c r="G25" i="4"/>
  <c r="K22" i="4"/>
  <c r="E25" i="4"/>
  <c r="K18" i="4"/>
  <c r="I25" i="4"/>
  <c r="E55" i="4"/>
  <c r="E57" i="4" s="1"/>
  <c r="C57" i="4"/>
  <c r="K55" i="4"/>
  <c r="C76" i="4"/>
  <c r="K6" i="4"/>
  <c r="D26" i="4" l="1"/>
  <c r="J27" i="4"/>
  <c r="C77" i="4"/>
  <c r="K57" i="4"/>
  <c r="C25" i="4"/>
  <c r="D7" i="4" l="1"/>
  <c r="J26" i="4"/>
  <c r="K26" i="4"/>
  <c r="J7" i="4" l="1"/>
  <c r="L23" i="4"/>
  <c r="L19" i="4"/>
  <c r="L8" i="4"/>
  <c r="L22" i="4"/>
  <c r="L9" i="4"/>
  <c r="L12" i="4"/>
  <c r="L13" i="4"/>
  <c r="L24" i="4"/>
  <c r="L14" i="4"/>
  <c r="L7" i="4"/>
  <c r="D25" i="4"/>
  <c r="L21" i="4"/>
  <c r="L15" i="4"/>
  <c r="L20" i="4"/>
  <c r="L11" i="4"/>
  <c r="L18" i="4"/>
  <c r="L16" i="4"/>
  <c r="L10" i="4"/>
  <c r="L17" i="4"/>
  <c r="K7" i="4"/>
  <c r="J25" i="4" l="1"/>
  <c r="K25" i="4"/>
  <c r="L25" i="4"/>
</calcChain>
</file>

<file path=xl/sharedStrings.xml><?xml version="1.0" encoding="utf-8"?>
<sst xmlns="http://schemas.openxmlformats.org/spreadsheetml/2006/main" count="384" uniqueCount="125">
  <si>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</si>
  <si>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</si>
  <si>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</si>
  <si>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</si>
  <si>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</si>
  <si>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</si>
  <si>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</si>
  <si>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</si>
  <si>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</si>
  <si>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</si>
  <si>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</si>
  <si>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</si>
  <si>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</si>
  <si>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</si>
  <si>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</si>
  <si>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</si>
  <si>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</si>
  <si>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</si>
  <si>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</si>
  <si>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</si>
  <si>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</si>
  <si>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</si>
  <si>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</si>
  <si>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</si>
  <si>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</si>
  <si>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</si>
  <si>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</si>
  <si>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</si>
  <si>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</si>
  <si>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</si>
  <si>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</si>
  <si>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</si>
  <si>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</si>
  <si>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</si>
  <si>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</si>
  <si>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</si>
  <si>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</si>
  <si>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</si>
  <si>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</si>
  <si>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</si>
  <si>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</si>
  <si>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</si>
  <si>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</si>
  <si>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</si>
  <si>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</si>
  <si>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</si>
  <si>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</si>
  <si>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</si>
  <si>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</si>
  <si>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</si>
  <si>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</si>
  <si>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</si>
  <si>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</si>
  <si>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</si>
  <si>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</si>
  <si>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</si>
  <si>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</si>
  <si>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</si>
  <si>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</si>
  <si>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</si>
  <si>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</si>
  <si>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</si>
  <si>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</si>
  <si>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</si>
  <si>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</si>
  <si>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</si>
  <si>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</si>
  <si>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</si>
  <si>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</si>
  <si>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</si>
  <si>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</si>
  <si>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</si>
  <si>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</si>
  <si>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</si>
  <si>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</si>
  <si>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</si>
  <si>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</si>
  <si>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</si>
  <si>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</si>
  <si>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</si>
  <si>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</si>
  <si>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</si>
  <si>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</si>
  <si>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</si>
  <si>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</si>
  <si>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</si>
  <si>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</si>
  <si>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</si>
  <si>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</si>
  <si>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</si>
  <si>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</si>
  <si>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</si>
  <si>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</si>
  <si>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</si>
  <si>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</si>
  <si>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</si>
  <si>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</si>
  <si>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</si>
  <si>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</si>
  <si>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</si>
  <si>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</si>
  <si>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</si>
  <si>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</si>
  <si>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</si>
  <si>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</si>
  <si>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</si>
  <si>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</si>
  <si>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</si>
  <si>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</si>
  <si>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</si>
  <si>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</si>
  <si>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</si>
  <si>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</si>
  <si>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</si>
  <si>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</si>
  <si>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</si>
  <si>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</si>
  <si>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</si>
  <si>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</si>
  <si>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Planowany</t>
  </si>
  <si>
    <t>Wynik budżetu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</si>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</sst>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7" fillId="0" borderId="0"/>
    <xf numFmtId="0" fontId="17" fillId="0" borderId="0"/>
  </cellStyleXfs>
  <cellXfs count="140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8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8" fillId="4" borderId="1" xfId="3" applyFont="1" applyFill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0" fontId="6" fillId="0" borderId="0" xfId="0" applyFont="1"/>
    <xf numFmtId="0" fontId="15" fillId="0" borderId="1" xfId="0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4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7.7109375" style="1" bestFit="1" customWidth="1"/>
    <col min="11" max="11" width="7.5703125" style="1" bestFit="1" customWidth="1"/>
    <col min="12" max="13" width="8.140625" style="1" customWidth="1"/>
    <col min="14" max="16384" width="9.140625" style="1"/>
  </cols>
  <sheetData>
    <row r="1" spans="2:13" ht="15" x14ac:dyDescent="0.2">
      <c r="B1" s="90" t="str">
        <f>CONCATENATE("Informacja z wykonania budżetów gmin za ",$D$131," ",$C$132," rok     ",$C$134,"")</f>
        <v xml:space="preserve">Informacja z wykonania budżetów gmin za II Kwartały 2025 rok     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2:13" ht="0.75" customHeight="1" x14ac:dyDescent="0.2"/>
    <row r="3" spans="2:13" ht="69" customHeight="1" x14ac:dyDescent="0.2">
      <c r="B3" s="131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31"/>
      <c r="C4" s="128" t="s">
        <v>61</v>
      </c>
      <c r="D4" s="129"/>
      <c r="E4" s="129"/>
      <c r="F4" s="129"/>
      <c r="G4" s="129"/>
      <c r="H4" s="129"/>
      <c r="I4" s="130"/>
      <c r="J4" s="133" t="s">
        <v>4</v>
      </c>
      <c r="K4" s="133"/>
      <c r="L4" s="133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3" t="s">
        <v>5</v>
      </c>
      <c r="C6" s="45">
        <f>222437296127.81</f>
        <v>222437296127.81</v>
      </c>
      <c r="D6" s="45">
        <f>117562361542.65</f>
        <v>117562361542.64999</v>
      </c>
      <c r="E6" s="45">
        <f>3172635816.13</f>
        <v>3172635816.1300001</v>
      </c>
      <c r="F6" s="45">
        <f>378441367.22</f>
        <v>378441367.22000003</v>
      </c>
      <c r="G6" s="45">
        <f>41259391.05</f>
        <v>41259391.049999997</v>
      </c>
      <c r="H6" s="45">
        <f>98413062.84</f>
        <v>98413062.840000004</v>
      </c>
      <c r="I6" s="45">
        <f>4018518.81</f>
        <v>4018518.81</v>
      </c>
      <c r="J6" s="46">
        <f t="shared" ref="J6:J57" si="0">IF($D$6=0,"",100*$D6/$D$6)</f>
        <v>100</v>
      </c>
      <c r="K6" s="46">
        <f t="shared" ref="K6:K53" si="1">IF(C6=0,"",100*D6/C6)</f>
        <v>52.851910893171429</v>
      </c>
      <c r="L6" s="46"/>
    </row>
    <row r="7" spans="2:13" ht="25.5" customHeight="1" x14ac:dyDescent="0.2">
      <c r="B7" s="84" t="s">
        <v>46</v>
      </c>
      <c r="C7" s="25">
        <f>C6-C26-C50</f>
        <v>141749747780.82001</v>
      </c>
      <c r="D7" s="25">
        <f>D6-D26-D50</f>
        <v>81050906304.12999</v>
      </c>
      <c r="E7" s="25">
        <f>E6</f>
        <v>3172635816.1300001</v>
      </c>
      <c r="F7" s="25">
        <f>F6</f>
        <v>378441367.22000003</v>
      </c>
      <c r="G7" s="25">
        <f>G6</f>
        <v>41259391.049999997</v>
      </c>
      <c r="H7" s="25">
        <f>H6</f>
        <v>98413062.840000004</v>
      </c>
      <c r="I7" s="25">
        <f>I6</f>
        <v>4018518.81</v>
      </c>
      <c r="J7" s="34">
        <f t="shared" si="0"/>
        <v>68.942904208951134</v>
      </c>
      <c r="K7" s="34">
        <f t="shared" si="1"/>
        <v>57.178871619196556</v>
      </c>
      <c r="L7" s="34">
        <f t="shared" ref="L7:L25" si="2">IF($D$7=0,"",100*$D7/$D$7)</f>
        <v>100</v>
      </c>
    </row>
    <row r="8" spans="2:13" ht="22.5" customHeight="1" outlineLevel="1" x14ac:dyDescent="0.2">
      <c r="B8" s="54" t="s">
        <v>101</v>
      </c>
      <c r="C8" s="24">
        <f>79595384110.29</f>
        <v>79595384110.289993</v>
      </c>
      <c r="D8" s="24">
        <f>48983763832</f>
        <v>48983763832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41.666195871906986</v>
      </c>
      <c r="K8" s="35">
        <f t="shared" si="1"/>
        <v>61.540960420677763</v>
      </c>
      <c r="L8" s="35">
        <f t="shared" si="2"/>
        <v>60.435800246571709</v>
      </c>
    </row>
    <row r="9" spans="2:13" ht="22.5" customHeight="1" outlineLevel="1" x14ac:dyDescent="0.2">
      <c r="B9" s="54" t="s">
        <v>102</v>
      </c>
      <c r="C9" s="24">
        <f>3261266287.78</f>
        <v>3261266287.7800002</v>
      </c>
      <c r="D9" s="24">
        <f>1630704311.37</f>
        <v>1630704311.3699999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1.3870972732870828</v>
      </c>
      <c r="K9" s="35">
        <f t="shared" si="1"/>
        <v>50.002182203896275</v>
      </c>
      <c r="L9" s="35">
        <f t="shared" si="2"/>
        <v>2.0119507427234118</v>
      </c>
    </row>
    <row r="10" spans="2:13" ht="13.35" customHeight="1" outlineLevel="1" x14ac:dyDescent="0.2">
      <c r="B10" s="54" t="s">
        <v>109</v>
      </c>
      <c r="C10" s="24">
        <f>23090368383.02</f>
        <v>23090368383.02</v>
      </c>
      <c r="D10" s="24">
        <f>12765356587.91</f>
        <v>12765356587.91</v>
      </c>
      <c r="E10" s="24">
        <f>1713847699.27</f>
        <v>1713847699.27</v>
      </c>
      <c r="F10" s="24">
        <f>375244435.43</f>
        <v>375244435.43000001</v>
      </c>
      <c r="G10" s="24">
        <f>28694344.95</f>
        <v>28694344.949999999</v>
      </c>
      <c r="H10" s="24">
        <f>74083948.27</f>
        <v>74083948.269999996</v>
      </c>
      <c r="I10" s="24">
        <f>3027225.96</f>
        <v>3027225.96</v>
      </c>
      <c r="J10" s="35">
        <f t="shared" si="0"/>
        <v>10.858370332480014</v>
      </c>
      <c r="K10" s="35">
        <f t="shared" si="1"/>
        <v>55.284334906052344</v>
      </c>
      <c r="L10" s="35">
        <f t="shared" si="2"/>
        <v>15.749801168182046</v>
      </c>
    </row>
    <row r="11" spans="2:13" ht="13.35" customHeight="1" outlineLevel="1" x14ac:dyDescent="0.2">
      <c r="B11" s="54" t="s">
        <v>110</v>
      </c>
      <c r="C11" s="24">
        <f>2252068139</f>
        <v>2252068139</v>
      </c>
      <c r="D11" s="53">
        <f>1382281161.65</f>
        <v>1382281161.6500001</v>
      </c>
      <c r="E11" s="24">
        <f>175124110.31</f>
        <v>175124110.31</v>
      </c>
      <c r="F11" s="24">
        <f>1405592.77</f>
        <v>1405592.77</v>
      </c>
      <c r="G11" s="24">
        <f>1547076.3</f>
        <v>1547076.3</v>
      </c>
      <c r="H11" s="24">
        <f>1663844.36</f>
        <v>1663844.36</v>
      </c>
      <c r="I11" s="24">
        <f>2063.62</f>
        <v>2063.62</v>
      </c>
      <c r="J11" s="35">
        <f t="shared" si="0"/>
        <v>1.175785466974077</v>
      </c>
      <c r="K11" s="35">
        <f t="shared" si="1"/>
        <v>61.378301025287051</v>
      </c>
      <c r="L11" s="35">
        <f t="shared" si="2"/>
        <v>1.7054481247417774</v>
      </c>
    </row>
    <row r="12" spans="2:13" ht="13.35" customHeight="1" outlineLevel="1" x14ac:dyDescent="0.2">
      <c r="B12" s="54" t="s">
        <v>111</v>
      </c>
      <c r="C12" s="24">
        <f>449744718.61</f>
        <v>449744718.61000001</v>
      </c>
      <c r="D12" s="53">
        <f>237355205.33</f>
        <v>237355205.33000001</v>
      </c>
      <c r="E12" s="24">
        <f>1398566.78</f>
        <v>1398566.78</v>
      </c>
      <c r="F12" s="24">
        <f>438762.64</f>
        <v>438762.64</v>
      </c>
      <c r="G12" s="24">
        <f>58320.39</f>
        <v>58320.39</v>
      </c>
      <c r="H12" s="24">
        <f>11765.42</f>
        <v>11765.42</v>
      </c>
      <c r="I12" s="24">
        <f>0</f>
        <v>0</v>
      </c>
      <c r="J12" s="35">
        <f t="shared" si="0"/>
        <v>0.20189727580786204</v>
      </c>
      <c r="K12" s="35">
        <f t="shared" si="1"/>
        <v>52.775540325093758</v>
      </c>
      <c r="L12" s="35">
        <f t="shared" si="2"/>
        <v>0.29284707124601944</v>
      </c>
    </row>
    <row r="13" spans="2:13" ht="13.35" customHeight="1" outlineLevel="1" x14ac:dyDescent="0.2">
      <c r="B13" s="54" t="s">
        <v>19</v>
      </c>
      <c r="C13" s="24">
        <f>1121283749.73</f>
        <v>1121283749.73</v>
      </c>
      <c r="D13" s="53">
        <f>594031174.36</f>
        <v>594031174.36000001</v>
      </c>
      <c r="E13" s="24">
        <f>1266609282.49</f>
        <v>1266609282.49</v>
      </c>
      <c r="F13" s="24">
        <f>1352576.38</f>
        <v>1352576.38</v>
      </c>
      <c r="G13" s="24">
        <f>1004672.1</f>
        <v>1004672.1</v>
      </c>
      <c r="H13" s="24">
        <f>5322984.13</f>
        <v>5322984.13</v>
      </c>
      <c r="I13" s="24">
        <f>40525</f>
        <v>40525</v>
      </c>
      <c r="J13" s="35">
        <f t="shared" si="0"/>
        <v>0.50529027025753792</v>
      </c>
      <c r="K13" s="35">
        <f t="shared" si="1"/>
        <v>52.97777431475663</v>
      </c>
      <c r="L13" s="35">
        <f t="shared" si="2"/>
        <v>0.73291120537381438</v>
      </c>
    </row>
    <row r="14" spans="2:13" ht="22.5" outlineLevel="1" x14ac:dyDescent="0.2">
      <c r="B14" s="54" t="s">
        <v>24</v>
      </c>
      <c r="C14" s="24">
        <f>1755367942.98</f>
        <v>1755367942.98</v>
      </c>
      <c r="D14" s="53">
        <f>1033267623.96</f>
        <v>1033267623.96</v>
      </c>
      <c r="E14" s="24">
        <f>0</f>
        <v>0</v>
      </c>
      <c r="F14" s="24">
        <f>0</f>
        <v>0</v>
      </c>
      <c r="G14" s="24">
        <f>155634.35</f>
        <v>155634.35</v>
      </c>
      <c r="H14" s="24">
        <f>583705.79</f>
        <v>583705.79</v>
      </c>
      <c r="I14" s="24">
        <f>0</f>
        <v>0</v>
      </c>
      <c r="J14" s="35">
        <f t="shared" si="0"/>
        <v>0.8789102314733146</v>
      </c>
      <c r="K14" s="35">
        <f t="shared" si="1"/>
        <v>58.863307154047341</v>
      </c>
      <c r="L14" s="35">
        <f t="shared" si="2"/>
        <v>1.2748378409031427</v>
      </c>
    </row>
    <row r="15" spans="2:13" ht="33.75" outlineLevel="1" x14ac:dyDescent="0.2">
      <c r="B15" s="54" t="s">
        <v>112</v>
      </c>
      <c r="C15" s="24">
        <f>90474496.88</f>
        <v>90474496.879999995</v>
      </c>
      <c r="D15" s="53">
        <f>41472534.85</f>
        <v>41472534.850000001</v>
      </c>
      <c r="E15" s="24">
        <f>0</f>
        <v>0</v>
      </c>
      <c r="F15" s="24">
        <f>0</f>
        <v>0</v>
      </c>
      <c r="G15" s="24">
        <f>22083.18</f>
        <v>22083.18</v>
      </c>
      <c r="H15" s="24">
        <f>68874.3</f>
        <v>68874.3</v>
      </c>
      <c r="I15" s="24">
        <f>0</f>
        <v>0</v>
      </c>
      <c r="J15" s="35">
        <f t="shared" si="0"/>
        <v>3.5277051520400379E-2</v>
      </c>
      <c r="K15" s="35">
        <f t="shared" si="1"/>
        <v>45.838922879014966</v>
      </c>
      <c r="L15" s="35">
        <f t="shared" si="2"/>
        <v>5.116850229210422E-2</v>
      </c>
    </row>
    <row r="16" spans="2:13" ht="13.35" customHeight="1" outlineLevel="1" x14ac:dyDescent="0.2">
      <c r="B16" s="54" t="s">
        <v>113</v>
      </c>
      <c r="C16" s="24">
        <f>194036781.68</f>
        <v>194036781.68000001</v>
      </c>
      <c r="D16" s="53">
        <f>104482036.51</f>
        <v>104482036.51000001</v>
      </c>
      <c r="E16" s="24">
        <f>0</f>
        <v>0</v>
      </c>
      <c r="F16" s="24">
        <f>0</f>
        <v>0</v>
      </c>
      <c r="G16" s="24">
        <f>159</f>
        <v>159</v>
      </c>
      <c r="H16" s="24">
        <f>0</f>
        <v>0</v>
      </c>
      <c r="I16" s="24">
        <f>0</f>
        <v>0</v>
      </c>
      <c r="J16" s="35">
        <f t="shared" si="0"/>
        <v>8.8873713609517249E-2</v>
      </c>
      <c r="K16" s="35">
        <f t="shared" si="1"/>
        <v>53.846510751919617</v>
      </c>
      <c r="L16" s="35">
        <f t="shared" si="2"/>
        <v>0.12890915262310407</v>
      </c>
    </row>
    <row r="17" spans="2:12" ht="13.35" customHeight="1" outlineLevel="1" x14ac:dyDescent="0.2">
      <c r="B17" s="54" t="s">
        <v>25</v>
      </c>
      <c r="C17" s="24">
        <f>442536169.56</f>
        <v>442536169.56</v>
      </c>
      <c r="D17" s="53">
        <f>234637560.9</f>
        <v>234637560.90000001</v>
      </c>
      <c r="E17" s="24">
        <f>0</f>
        <v>0</v>
      </c>
      <c r="F17" s="24">
        <f>0</f>
        <v>0</v>
      </c>
      <c r="G17" s="24">
        <f>33420</f>
        <v>33420</v>
      </c>
      <c r="H17" s="24">
        <f>415084.89</f>
        <v>415084.89</v>
      </c>
      <c r="I17" s="24">
        <f>0</f>
        <v>0</v>
      </c>
      <c r="J17" s="35">
        <f t="shared" si="0"/>
        <v>0.19958561381473844</v>
      </c>
      <c r="K17" s="35">
        <f t="shared" si="1"/>
        <v>53.021103593248178</v>
      </c>
      <c r="L17" s="35">
        <f t="shared" si="2"/>
        <v>0.28949406194122212</v>
      </c>
    </row>
    <row r="18" spans="2:12" ht="13.35" customHeight="1" outlineLevel="1" x14ac:dyDescent="0.2">
      <c r="B18" s="54" t="s">
        <v>114</v>
      </c>
      <c r="C18" s="24">
        <f>222819194.18</f>
        <v>222819194.18000001</v>
      </c>
      <c r="D18" s="53">
        <f>145324641.89</f>
        <v>145324641.88999999</v>
      </c>
      <c r="E18" s="24">
        <f>0</f>
        <v>0</v>
      </c>
      <c r="F18" s="24">
        <f>0</f>
        <v>0</v>
      </c>
      <c r="G18" s="24">
        <f>2239298.74</f>
        <v>2239298.7400000002</v>
      </c>
      <c r="H18" s="24">
        <f>4787139.11</f>
        <v>4787139.1100000003</v>
      </c>
      <c r="I18" s="24">
        <f>0</f>
        <v>0</v>
      </c>
      <c r="J18" s="35">
        <f t="shared" si="0"/>
        <v>0.12361493932501366</v>
      </c>
      <c r="K18" s="35">
        <f t="shared" si="1"/>
        <v>65.220881183423714</v>
      </c>
      <c r="L18" s="35">
        <f t="shared" si="2"/>
        <v>0.17930045266205111</v>
      </c>
    </row>
    <row r="19" spans="2:12" ht="13.35" customHeight="1" outlineLevel="1" x14ac:dyDescent="0.2">
      <c r="B19" s="54" t="s">
        <v>26</v>
      </c>
      <c r="C19" s="24">
        <f>115044721.5</f>
        <v>115044721.5</v>
      </c>
      <c r="D19" s="53">
        <f>48136567.14</f>
        <v>48136567.140000001</v>
      </c>
      <c r="E19" s="24">
        <f>523979</f>
        <v>523979</v>
      </c>
      <c r="F19" s="24">
        <f>0</f>
        <v>0</v>
      </c>
      <c r="G19" s="24">
        <f>0</f>
        <v>0</v>
      </c>
      <c r="H19" s="24">
        <f>12780.33</f>
        <v>12780.33</v>
      </c>
      <c r="I19" s="24">
        <f>0</f>
        <v>0</v>
      </c>
      <c r="J19" s="35">
        <f t="shared" si="0"/>
        <v>4.094555987847924E-2</v>
      </c>
      <c r="K19" s="35">
        <f t="shared" ref="K19:K25" si="3">IF(C19=0,"",100*D19/C19)</f>
        <v>41.841612993952097</v>
      </c>
      <c r="L19" s="35">
        <f t="shared" si="2"/>
        <v>5.9390535325262832E-2</v>
      </c>
    </row>
    <row r="20" spans="2:12" ht="13.35" customHeight="1" outlineLevel="1" x14ac:dyDescent="0.2">
      <c r="B20" s="54" t="s">
        <v>115</v>
      </c>
      <c r="C20" s="24">
        <f>70928199.68</f>
        <v>70928199.680000007</v>
      </c>
      <c r="D20" s="53">
        <f>21709739.81</f>
        <v>21709739.809999999</v>
      </c>
      <c r="E20" s="24">
        <f>118337.44</f>
        <v>118337.44</v>
      </c>
      <c r="F20" s="24">
        <f>0</f>
        <v>0</v>
      </c>
      <c r="G20" s="24">
        <f>0</f>
        <v>0</v>
      </c>
      <c r="H20" s="24">
        <f>0</f>
        <v>0</v>
      </c>
      <c r="I20" s="24">
        <f>0</f>
        <v>0</v>
      </c>
      <c r="J20" s="35">
        <f t="shared" si="0"/>
        <v>1.8466573421225471E-2</v>
      </c>
      <c r="K20" s="35">
        <f t="shared" si="3"/>
        <v>30.608051392740492</v>
      </c>
      <c r="L20" s="35">
        <f t="shared" si="2"/>
        <v>2.6785314069824002E-2</v>
      </c>
    </row>
    <row r="21" spans="2:12" ht="13.35" customHeight="1" outlineLevel="1" x14ac:dyDescent="0.2">
      <c r="B21" s="54" t="s">
        <v>116</v>
      </c>
      <c r="C21" s="24">
        <f>103401555</f>
        <v>103401555</v>
      </c>
      <c r="D21" s="53">
        <f>44130855.9</f>
        <v>44130855.899999999</v>
      </c>
      <c r="E21" s="24">
        <f>201909.11</f>
        <v>201909.11</v>
      </c>
      <c r="F21" s="24">
        <f>0</f>
        <v>0</v>
      </c>
      <c r="G21" s="24">
        <f>132.3</f>
        <v>132.30000000000001</v>
      </c>
      <c r="H21" s="24">
        <f>0</f>
        <v>0</v>
      </c>
      <c r="I21" s="24">
        <f>0</f>
        <v>0</v>
      </c>
      <c r="J21" s="35">
        <f t="shared" si="0"/>
        <v>3.7538252312148336E-2</v>
      </c>
      <c r="K21" s="35">
        <f t="shared" si="3"/>
        <v>42.679102746568944</v>
      </c>
      <c r="L21" s="35">
        <f t="shared" si="2"/>
        <v>5.4448318855814311E-2</v>
      </c>
    </row>
    <row r="22" spans="2:12" ht="13.35" customHeight="1" outlineLevel="1" x14ac:dyDescent="0.2">
      <c r="B22" s="54" t="s">
        <v>117</v>
      </c>
      <c r="C22" s="24">
        <f>3054445</f>
        <v>3054445</v>
      </c>
      <c r="D22" s="53">
        <f>2347957.13</f>
        <v>2347957.13</v>
      </c>
      <c r="E22" s="24">
        <f>1070264.31</f>
        <v>1070264.31</v>
      </c>
      <c r="F22" s="24">
        <f>0</f>
        <v>0</v>
      </c>
      <c r="G22" s="24">
        <f>690</f>
        <v>690</v>
      </c>
      <c r="H22" s="24">
        <f>0</f>
        <v>0</v>
      </c>
      <c r="I22" s="24">
        <f>0</f>
        <v>0</v>
      </c>
      <c r="J22" s="35">
        <f t="shared" si="0"/>
        <v>1.9972013994871934E-3</v>
      </c>
      <c r="K22" s="35">
        <f t="shared" si="3"/>
        <v>76.870172158935588</v>
      </c>
      <c r="L22" s="35">
        <f t="shared" si="2"/>
        <v>2.8968918881544432E-3</v>
      </c>
    </row>
    <row r="23" spans="2:12" ht="13.35" customHeight="1" outlineLevel="1" x14ac:dyDescent="0.2">
      <c r="B23" s="54" t="s">
        <v>118</v>
      </c>
      <c r="C23" s="24">
        <f>1134175</f>
        <v>1134175</v>
      </c>
      <c r="D23" s="53">
        <f>725018.82</f>
        <v>725018.82</v>
      </c>
      <c r="E23" s="24">
        <f>0</f>
        <v>0</v>
      </c>
      <c r="F23" s="24">
        <f>0</f>
        <v>0</v>
      </c>
      <c r="G23" s="24">
        <f>0</f>
        <v>0</v>
      </c>
      <c r="H23" s="24">
        <f>0</f>
        <v>0</v>
      </c>
      <c r="I23" s="24">
        <f>0</f>
        <v>0</v>
      </c>
      <c r="J23" s="35">
        <f t="shared" si="0"/>
        <v>6.1670998309860698E-4</v>
      </c>
      <c r="K23" s="35">
        <f t="shared" si="3"/>
        <v>63.924775277183855</v>
      </c>
      <c r="L23" s="35">
        <f t="shared" si="2"/>
        <v>8.9452277964602637E-4</v>
      </c>
    </row>
    <row r="24" spans="2:12" ht="13.35" customHeight="1" outlineLevel="1" x14ac:dyDescent="0.2">
      <c r="B24" s="54" t="s">
        <v>20</v>
      </c>
      <c r="C24" s="24">
        <f>5180050279.22</f>
        <v>5180050279.2200003</v>
      </c>
      <c r="D24" s="53">
        <f>1966280271.74</f>
        <v>1966280271.74</v>
      </c>
      <c r="E24" s="24">
        <f>0</f>
        <v>0</v>
      </c>
      <c r="F24" s="24">
        <f>0</f>
        <v>0</v>
      </c>
      <c r="G24" s="24">
        <f>20986.65</f>
        <v>20986.65</v>
      </c>
      <c r="H24" s="24">
        <f>47667.95</f>
        <v>47667.95</v>
      </c>
      <c r="I24" s="24">
        <f>0</f>
        <v>0</v>
      </c>
      <c r="J24" s="35">
        <f t="shared" si="0"/>
        <v>1.6725423391794156</v>
      </c>
      <c r="K24" s="35">
        <f t="shared" si="3"/>
        <v>37.958710162096686</v>
      </c>
      <c r="L24" s="35">
        <f t="shared" si="2"/>
        <v>2.4259818444988901</v>
      </c>
    </row>
    <row r="25" spans="2:12" ht="13.35" customHeight="1" outlineLevel="1" x14ac:dyDescent="0.2">
      <c r="B25" s="54" t="s">
        <v>21</v>
      </c>
      <c r="C25" s="24">
        <f>C7-C8-C9-C10-C11-C12-C13-C14-C15-C16-C17-C18-C19-C20-C21-C22-C23-C24</f>
        <v>23800784431.710007</v>
      </c>
      <c r="D25" s="24">
        <f t="shared" ref="D25:I25" si="4">D7-D8-D9-D10-D11-D12-D13-D14-D15-D16-D17-D18-D19-D20-D21-D22-D23-D24</f>
        <v>11814899222.859995</v>
      </c>
      <c r="E25" s="24">
        <f t="shared" si="4"/>
        <v>13741667.42000021</v>
      </c>
      <c r="F25" s="24">
        <f t="shared" si="4"/>
        <v>2.1420419216156006E-8</v>
      </c>
      <c r="G25" s="24">
        <f t="shared" si="4"/>
        <v>7482573.0899999971</v>
      </c>
      <c r="H25" s="24">
        <f t="shared" si="4"/>
        <v>11415268.290000008</v>
      </c>
      <c r="I25" s="24">
        <f t="shared" si="4"/>
        <v>948704.2300000001</v>
      </c>
      <c r="J25" s="35">
        <f t="shared" si="0"/>
        <v>10.049899532320737</v>
      </c>
      <c r="K25" s="35">
        <f t="shared" si="3"/>
        <v>49.640797582784266</v>
      </c>
      <c r="L25" s="35">
        <f t="shared" si="2"/>
        <v>14.57713400332201</v>
      </c>
    </row>
    <row r="26" spans="2:12" ht="27" customHeight="1" x14ac:dyDescent="0.2">
      <c r="B26" s="84" t="s">
        <v>85</v>
      </c>
      <c r="C26" s="45">
        <f>C27+C46+C48</f>
        <v>56388092599.940002</v>
      </c>
      <c r="D26" s="45">
        <f>D27+D46+D48</f>
        <v>21739709600.720001</v>
      </c>
      <c r="E26" s="41" t="s">
        <v>45</v>
      </c>
      <c r="F26" s="41" t="s">
        <v>45</v>
      </c>
      <c r="G26" s="41" t="s">
        <v>45</v>
      </c>
      <c r="H26" s="41" t="s">
        <v>45</v>
      </c>
      <c r="I26" s="41" t="s">
        <v>45</v>
      </c>
      <c r="J26" s="46">
        <f t="shared" si="0"/>
        <v>18.492066096199618</v>
      </c>
      <c r="K26" s="46">
        <f t="shared" si="1"/>
        <v>38.553724019285468</v>
      </c>
      <c r="L26" s="29"/>
    </row>
    <row r="27" spans="2:12" ht="27" customHeight="1" outlineLevel="1" x14ac:dyDescent="0.2">
      <c r="B27" s="92" t="s">
        <v>47</v>
      </c>
      <c r="C27" s="45">
        <f>C28+C30+C32+C34+C36+C38+C40+C42+C44</f>
        <v>44609664598.410004</v>
      </c>
      <c r="D27" s="45">
        <f>D28+D30+D32+D34+D36+D38+D40+D42+D44</f>
        <v>19484430032.149998</v>
      </c>
      <c r="E27" s="41" t="s">
        <v>45</v>
      </c>
      <c r="F27" s="41" t="s">
        <v>45</v>
      </c>
      <c r="G27" s="41" t="s">
        <v>45</v>
      </c>
      <c r="H27" s="41" t="s">
        <v>45</v>
      </c>
      <c r="I27" s="41" t="s">
        <v>45</v>
      </c>
      <c r="J27" s="46">
        <f t="shared" si="0"/>
        <v>16.573697377694575</v>
      </c>
      <c r="K27" s="46">
        <f t="shared" si="1"/>
        <v>43.677598133845798</v>
      </c>
      <c r="L27" s="29"/>
    </row>
    <row r="28" spans="2:12" ht="22.5" customHeight="1" outlineLevel="1" x14ac:dyDescent="0.2">
      <c r="B28" s="82" t="s">
        <v>9</v>
      </c>
      <c r="C28" s="24">
        <f>14100957731.02</f>
        <v>14100957731.02</v>
      </c>
      <c r="D28" s="24">
        <f>9562396437.81</f>
        <v>9562396437.8099995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8.1338927802508412</v>
      </c>
      <c r="K28" s="35">
        <f t="shared" si="1"/>
        <v>67.813808254840424</v>
      </c>
      <c r="L28" s="29"/>
    </row>
    <row r="29" spans="2:12" ht="13.5" customHeight="1" outlineLevel="1" x14ac:dyDescent="0.2">
      <c r="B29" s="93" t="s">
        <v>6</v>
      </c>
      <c r="C29" s="24">
        <f>17937290.54</f>
        <v>17937290.539999999</v>
      </c>
      <c r="D29" s="24">
        <f>105058.77</f>
        <v>105058.77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8.9364290255334938E-5</v>
      </c>
      <c r="K29" s="35">
        <f t="shared" si="1"/>
        <v>0.58570033063644633</v>
      </c>
      <c r="L29" s="29"/>
    </row>
    <row r="30" spans="2:12" ht="13.5" customHeight="1" outlineLevel="1" x14ac:dyDescent="0.2">
      <c r="B30" s="82" t="s">
        <v>7</v>
      </c>
      <c r="C30" s="24">
        <f>4661547016.11</f>
        <v>4661547016.1099997</v>
      </c>
      <c r="D30" s="24">
        <f>1940138184.79</f>
        <v>1940138184.79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1.650305556414112</v>
      </c>
      <c r="K30" s="35">
        <f t="shared" si="1"/>
        <v>41.620049697772224</v>
      </c>
      <c r="L30" s="29"/>
    </row>
    <row r="31" spans="2:12" ht="13.5" customHeight="1" outlineLevel="1" x14ac:dyDescent="0.2">
      <c r="B31" s="93" t="s">
        <v>6</v>
      </c>
      <c r="C31" s="24">
        <f>975425504.49</f>
        <v>975425504.49000001</v>
      </c>
      <c r="D31" s="24">
        <f>146176149.8</f>
        <v>146176149.80000001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0.12433924249383961</v>
      </c>
      <c r="K31" s="35">
        <f t="shared" si="1"/>
        <v>14.985885557342284</v>
      </c>
      <c r="L31" s="29"/>
    </row>
    <row r="32" spans="2:12" ht="35.1" customHeight="1" outlineLevel="1" x14ac:dyDescent="0.2">
      <c r="B32" s="82" t="s">
        <v>10</v>
      </c>
      <c r="C32" s="24">
        <f>39089670.14</f>
        <v>39089670.140000001</v>
      </c>
      <c r="D32" s="24">
        <f>13120920.99</f>
        <v>13120920.99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1.1160817814330747E-2</v>
      </c>
      <c r="K32" s="35">
        <f t="shared" si="1"/>
        <v>33.56621056920487</v>
      </c>
      <c r="L32" s="29"/>
    </row>
    <row r="33" spans="2:12" ht="13.5" customHeight="1" outlineLevel="1" x14ac:dyDescent="0.2">
      <c r="B33" s="93" t="s">
        <v>6</v>
      </c>
      <c r="C33" s="24">
        <f>19812332.04</f>
        <v>19812332.039999999</v>
      </c>
      <c r="D33" s="24">
        <f>2553520.44</f>
        <v>2553520.44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2.1720560955843151E-3</v>
      </c>
      <c r="K33" s="35">
        <f t="shared" si="1"/>
        <v>12.888540505199408</v>
      </c>
      <c r="L33" s="29"/>
    </row>
    <row r="34" spans="2:12" ht="24" customHeight="1" outlineLevel="1" x14ac:dyDescent="0.2">
      <c r="B34" s="82" t="s">
        <v>11</v>
      </c>
      <c r="C34" s="24">
        <f>911679598.63</f>
        <v>911679598.63</v>
      </c>
      <c r="D34" s="24">
        <f>282945295.64</f>
        <v>282945295.63999999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0.24067677097261386</v>
      </c>
      <c r="K34" s="35">
        <f t="shared" si="1"/>
        <v>31.035606814629592</v>
      </c>
      <c r="L34" s="29"/>
    </row>
    <row r="35" spans="2:12" ht="13.5" customHeight="1" outlineLevel="1" x14ac:dyDescent="0.2">
      <c r="B35" s="93" t="s">
        <v>6</v>
      </c>
      <c r="C35" s="24">
        <f>339415679.68</f>
        <v>339415679.68000001</v>
      </c>
      <c r="D35" s="24">
        <f>28161082.59</f>
        <v>28161082.59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2.3954165449273958E-2</v>
      </c>
      <c r="K35" s="35">
        <f t="shared" si="1"/>
        <v>8.2969303647227424</v>
      </c>
      <c r="L35" s="29"/>
    </row>
    <row r="36" spans="2:12" ht="35.1" customHeight="1" outlineLevel="1" x14ac:dyDescent="0.2">
      <c r="B36" s="82" t="s">
        <v>62</v>
      </c>
      <c r="C36" s="24">
        <f>1049852168.69</f>
        <v>1049852168.6900001</v>
      </c>
      <c r="D36" s="24">
        <f>279247903.9</f>
        <v>279247903.89999998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0.2375317237895844</v>
      </c>
      <c r="K36" s="35">
        <f t="shared" si="1"/>
        <v>26.59878335522648</v>
      </c>
      <c r="L36" s="29"/>
    </row>
    <row r="37" spans="2:12" ht="13.5" customHeight="1" outlineLevel="1" x14ac:dyDescent="0.2">
      <c r="B37" s="93" t="s">
        <v>6</v>
      </c>
      <c r="C37" s="24">
        <f>941611472.64</f>
        <v>941611472.63999999</v>
      </c>
      <c r="D37" s="24">
        <f>226595775.93</f>
        <v>226595775.93000001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0.19274517197223381</v>
      </c>
      <c r="K37" s="35">
        <f t="shared" si="1"/>
        <v>24.064678746393401</v>
      </c>
      <c r="L37" s="29"/>
    </row>
    <row r="38" spans="2:12" ht="13.5" customHeight="1" outlineLevel="1" x14ac:dyDescent="0.2">
      <c r="B38" s="82" t="s">
        <v>8</v>
      </c>
      <c r="C38" s="24">
        <f>644283836.07</f>
        <v>644283836.07000005</v>
      </c>
      <c r="D38" s="24">
        <f>104222778.91</f>
        <v>104222778.91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8.8653185885679428E-2</v>
      </c>
      <c r="K38" s="35">
        <f t="shared" si="1"/>
        <v>16.176531689160122</v>
      </c>
      <c r="L38" s="29"/>
    </row>
    <row r="39" spans="2:12" ht="13.5" customHeight="1" outlineLevel="1" x14ac:dyDescent="0.2">
      <c r="B39" s="94" t="s">
        <v>6</v>
      </c>
      <c r="C39" s="22">
        <f>608440859.86</f>
        <v>608440859.86000001</v>
      </c>
      <c r="D39" s="22">
        <f>90411619.55</f>
        <v>90411619.549999997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7.6905242769557597E-2</v>
      </c>
      <c r="K39" s="35">
        <f t="shared" si="1"/>
        <v>14.859557520644385</v>
      </c>
      <c r="L39" s="29"/>
    </row>
    <row r="40" spans="2:12" ht="71.099999999999994" customHeight="1" outlineLevel="1" x14ac:dyDescent="0.2">
      <c r="B40" s="82" t="s">
        <v>79</v>
      </c>
      <c r="C40" s="22">
        <f>13923030.53</f>
        <v>13923030.529999999</v>
      </c>
      <c r="D40" s="22">
        <f>1094370.52</f>
        <v>1094370.52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9.3088511122071797E-4</v>
      </c>
      <c r="K40" s="35">
        <f>IF(C40=0,"",100*D40/C40)</f>
        <v>7.8601459476940478</v>
      </c>
      <c r="L40" s="29"/>
    </row>
    <row r="41" spans="2:12" ht="13.5" customHeight="1" outlineLevel="1" x14ac:dyDescent="0.2">
      <c r="B41" s="94" t="s">
        <v>80</v>
      </c>
      <c r="C41" s="22">
        <f>12707030.53</f>
        <v>12707030.529999999</v>
      </c>
      <c r="D41" s="22">
        <f>930879.22</f>
        <v>930879.22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7.9181738762732314E-4</v>
      </c>
      <c r="K41" s="35">
        <f>IF(C41=0,"",100*D41/C41)</f>
        <v>7.325702238633089</v>
      </c>
      <c r="L41" s="29"/>
    </row>
    <row r="42" spans="2:12" ht="48" customHeight="1" outlineLevel="1" x14ac:dyDescent="0.2">
      <c r="B42" s="95" t="s">
        <v>77</v>
      </c>
      <c r="C42" s="22">
        <f>22496057194.89</f>
        <v>22496057194.889999</v>
      </c>
      <c r="D42" s="22">
        <f>6656253834.65</f>
        <v>6656253834.6499996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5.6618919076708094</v>
      </c>
      <c r="K42" s="35">
        <f t="shared" si="1"/>
        <v>29.588535346371604</v>
      </c>
      <c r="L42" s="29"/>
    </row>
    <row r="43" spans="2:12" ht="13.5" customHeight="1" outlineLevel="1" x14ac:dyDescent="0.2">
      <c r="B43" s="94" t="s">
        <v>6</v>
      </c>
      <c r="C43" s="22">
        <f>22405719864.77</f>
        <v>22405719864.77</v>
      </c>
      <c r="D43" s="22">
        <f>6596075300.18</f>
        <v>6596075300.1800003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5.6107033013172636</v>
      </c>
      <c r="K43" s="35">
        <f t="shared" si="1"/>
        <v>29.439247388571733</v>
      </c>
      <c r="L43" s="29"/>
    </row>
    <row r="44" spans="2:12" ht="22.5" outlineLevel="1" x14ac:dyDescent="0.2">
      <c r="B44" s="95" t="s">
        <v>90</v>
      </c>
      <c r="C44" s="22">
        <f>692274352.33</f>
        <v>692274352.33000004</v>
      </c>
      <c r="D44" s="22">
        <f>645010304.94</f>
        <v>645010304.94000006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0.54865374978538461</v>
      </c>
      <c r="K44" s="35">
        <f t="shared" si="1"/>
        <v>93.17264214239303</v>
      </c>
      <c r="L44" s="29"/>
    </row>
    <row r="45" spans="2:12" ht="13.5" customHeight="1" outlineLevel="1" x14ac:dyDescent="0.2">
      <c r="B45" s="94" t="s">
        <v>6</v>
      </c>
      <c r="C45" s="22">
        <f>958932.58</f>
        <v>958932.58</v>
      </c>
      <c r="D45" s="22">
        <f>1857434.58</f>
        <v>1857434.58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1.5799568464147844E-3</v>
      </c>
      <c r="K45" s="35">
        <f t="shared" si="1"/>
        <v>193.69814090579757</v>
      </c>
      <c r="L45" s="29"/>
    </row>
    <row r="46" spans="2:12" outlineLevel="1" x14ac:dyDescent="0.2">
      <c r="B46" s="92" t="s">
        <v>73</v>
      </c>
      <c r="C46" s="45">
        <f>870148365.42</f>
        <v>870148365.41999996</v>
      </c>
      <c r="D46" s="45">
        <f>168923977.33</f>
        <v>168923977.33000001</v>
      </c>
      <c r="E46" s="41" t="s">
        <v>45</v>
      </c>
      <c r="F46" s="41" t="s">
        <v>45</v>
      </c>
      <c r="G46" s="41" t="s">
        <v>45</v>
      </c>
      <c r="H46" s="41" t="s">
        <v>45</v>
      </c>
      <c r="I46" s="41" t="s">
        <v>45</v>
      </c>
      <c r="J46" s="46">
        <f t="shared" si="0"/>
        <v>0.14368882617989664</v>
      </c>
      <c r="K46" s="46">
        <f t="shared" si="1"/>
        <v>19.413238482435627</v>
      </c>
      <c r="L46" s="29"/>
    </row>
    <row r="47" spans="2:12" ht="13.5" customHeight="1" outlineLevel="1" x14ac:dyDescent="0.2">
      <c r="B47" s="94" t="s">
        <v>74</v>
      </c>
      <c r="C47" s="22">
        <f>734852958.71</f>
        <v>734852958.71000004</v>
      </c>
      <c r="D47" s="22">
        <f>112103165.55</f>
        <v>112103165.55</v>
      </c>
      <c r="E47" s="24" t="s">
        <v>45</v>
      </c>
      <c r="F47" s="24" t="s">
        <v>45</v>
      </c>
      <c r="G47" s="24" t="s">
        <v>45</v>
      </c>
      <c r="H47" s="24" t="s">
        <v>45</v>
      </c>
      <c r="I47" s="24" t="s">
        <v>45</v>
      </c>
      <c r="J47" s="35">
        <f t="shared" si="0"/>
        <v>9.5356340310780954E-2</v>
      </c>
      <c r="K47" s="35">
        <f t="shared" si="1"/>
        <v>15.255183260987593</v>
      </c>
      <c r="L47" s="29"/>
    </row>
    <row r="48" spans="2:12" ht="13.5" customHeight="1" outlineLevel="1" x14ac:dyDescent="0.2">
      <c r="B48" s="92" t="s">
        <v>75</v>
      </c>
      <c r="C48" s="41">
        <f>10908279636.11</f>
        <v>10908279636.110001</v>
      </c>
      <c r="D48" s="41">
        <f>2086355591.24</f>
        <v>2086355591.24</v>
      </c>
      <c r="E48" s="41" t="s">
        <v>45</v>
      </c>
      <c r="F48" s="41" t="s">
        <v>45</v>
      </c>
      <c r="G48" s="41" t="s">
        <v>45</v>
      </c>
      <c r="H48" s="41" t="s">
        <v>45</v>
      </c>
      <c r="I48" s="41" t="s">
        <v>45</v>
      </c>
      <c r="J48" s="55">
        <f t="shared" si="0"/>
        <v>1.7746798923251461</v>
      </c>
      <c r="K48" s="55">
        <f t="shared" si="1"/>
        <v>19.126348616270118</v>
      </c>
      <c r="L48" s="29"/>
    </row>
    <row r="49" spans="1:26" ht="13.5" customHeight="1" outlineLevel="1" x14ac:dyDescent="0.2">
      <c r="B49" s="94" t="s">
        <v>76</v>
      </c>
      <c r="C49" s="22">
        <f>9281308971.33</f>
        <v>9281308971.3299999</v>
      </c>
      <c r="D49" s="22">
        <f>1470711597.97</f>
        <v>1470711597.97</v>
      </c>
      <c r="E49" s="24" t="s">
        <v>45</v>
      </c>
      <c r="F49" s="24" t="s">
        <v>45</v>
      </c>
      <c r="G49" s="24" t="s">
        <v>45</v>
      </c>
      <c r="H49" s="24" t="s">
        <v>45</v>
      </c>
      <c r="I49" s="24" t="s">
        <v>45</v>
      </c>
      <c r="J49" s="35">
        <f t="shared" si="0"/>
        <v>1.2510054907636796</v>
      </c>
      <c r="K49" s="35">
        <f t="shared" si="1"/>
        <v>15.845950205009164</v>
      </c>
      <c r="L49" s="29"/>
    </row>
    <row r="50" spans="1:26" s="5" customFormat="1" ht="25.5" customHeight="1" x14ac:dyDescent="0.2">
      <c r="B50" s="84" t="s">
        <v>103</v>
      </c>
      <c r="C50" s="25">
        <f>24299455747.05</f>
        <v>24299455747.049999</v>
      </c>
      <c r="D50" s="45">
        <f>14771745637.8</f>
        <v>14771745637.799999</v>
      </c>
      <c r="E50" s="23" t="s">
        <v>45</v>
      </c>
      <c r="F50" s="23" t="s">
        <v>45</v>
      </c>
      <c r="G50" s="23" t="s">
        <v>45</v>
      </c>
      <c r="H50" s="23" t="s">
        <v>45</v>
      </c>
      <c r="I50" s="23" t="s">
        <v>45</v>
      </c>
      <c r="J50" s="34">
        <f t="shared" si="0"/>
        <v>12.565029694849244</v>
      </c>
      <c r="K50" s="34">
        <f t="shared" si="1"/>
        <v>60.790438236845361</v>
      </c>
      <c r="L50" s="30"/>
    </row>
    <row r="51" spans="1:26" ht="13.5" customHeight="1" outlineLevel="1" x14ac:dyDescent="0.2">
      <c r="B51" s="32" t="s">
        <v>35</v>
      </c>
      <c r="C51" s="22">
        <f>236435</f>
        <v>236435</v>
      </c>
      <c r="D51" s="22">
        <f>0</f>
        <v>0</v>
      </c>
      <c r="E51" s="24" t="s">
        <v>45</v>
      </c>
      <c r="F51" s="24" t="s">
        <v>45</v>
      </c>
      <c r="G51" s="24" t="s">
        <v>45</v>
      </c>
      <c r="H51" s="24" t="s">
        <v>45</v>
      </c>
      <c r="I51" s="24" t="s">
        <v>45</v>
      </c>
      <c r="J51" s="35">
        <f t="shared" si="0"/>
        <v>0</v>
      </c>
      <c r="K51" s="35">
        <f t="shared" si="1"/>
        <v>0</v>
      </c>
      <c r="L51" s="29"/>
    </row>
    <row r="52" spans="1:26" ht="22.5" outlineLevel="1" x14ac:dyDescent="0.2">
      <c r="B52" s="54" t="s">
        <v>104</v>
      </c>
      <c r="C52" s="24">
        <f>1839396680.75</f>
        <v>1839396680.75</v>
      </c>
      <c r="D52" s="24">
        <f>952255946.76</f>
        <v>952255946.75999999</v>
      </c>
      <c r="E52" s="24" t="s">
        <v>45</v>
      </c>
      <c r="F52" s="24" t="s">
        <v>45</v>
      </c>
      <c r="G52" s="24" t="s">
        <v>45</v>
      </c>
      <c r="H52" s="24" t="s">
        <v>45</v>
      </c>
      <c r="I52" s="24" t="s">
        <v>45</v>
      </c>
      <c r="J52" s="35">
        <f t="shared" si="0"/>
        <v>0.8100006960259426</v>
      </c>
      <c r="K52" s="35">
        <f t="shared" si="1"/>
        <v>51.770015501589626</v>
      </c>
      <c r="L52" s="29"/>
    </row>
    <row r="53" spans="1:26" ht="13.5" customHeight="1" outlineLevel="1" x14ac:dyDescent="0.2">
      <c r="B53" s="82" t="s">
        <v>6</v>
      </c>
      <c r="C53" s="24">
        <f>5205624</f>
        <v>5205624</v>
      </c>
      <c r="D53" s="24">
        <f>0</f>
        <v>0</v>
      </c>
      <c r="E53" s="24" t="s">
        <v>45</v>
      </c>
      <c r="F53" s="24" t="s">
        <v>45</v>
      </c>
      <c r="G53" s="24" t="s">
        <v>45</v>
      </c>
      <c r="H53" s="24" t="s">
        <v>45</v>
      </c>
      <c r="I53" s="24" t="s">
        <v>45</v>
      </c>
      <c r="J53" s="35">
        <f t="shared" si="0"/>
        <v>0</v>
      </c>
      <c r="K53" s="35">
        <f t="shared" si="1"/>
        <v>0</v>
      </c>
      <c r="L53" s="29"/>
    </row>
    <row r="54" spans="1:26" s="5" customFormat="1" x14ac:dyDescent="0.2">
      <c r="A54" s="2"/>
      <c r="B54" s="20"/>
      <c r="C54" s="7"/>
      <c r="D54" s="8"/>
      <c r="E54" s="16"/>
      <c r="F54" s="16"/>
      <c r="G54" s="16"/>
      <c r="H54" s="16"/>
      <c r="I54" s="16"/>
      <c r="J54" s="9"/>
      <c r="K54" s="9"/>
      <c r="L54" s="3"/>
    </row>
    <row r="55" spans="1:26" s="5" customFormat="1" ht="13.5" customHeight="1" x14ac:dyDescent="0.2">
      <c r="A55" s="2"/>
      <c r="B55" s="83" t="s">
        <v>5</v>
      </c>
      <c r="C55" s="41">
        <f t="shared" ref="C55:I55" si="5">+C6</f>
        <v>222437296127.81</v>
      </c>
      <c r="D55" s="41">
        <f t="shared" si="5"/>
        <v>117562361542.64999</v>
      </c>
      <c r="E55" s="41">
        <f t="shared" si="5"/>
        <v>3172635816.1300001</v>
      </c>
      <c r="F55" s="41">
        <f t="shared" si="5"/>
        <v>378441367.22000003</v>
      </c>
      <c r="G55" s="41">
        <f t="shared" si="5"/>
        <v>41259391.049999997</v>
      </c>
      <c r="H55" s="41">
        <f t="shared" si="5"/>
        <v>98413062.840000004</v>
      </c>
      <c r="I55" s="41">
        <f t="shared" si="5"/>
        <v>4018518.81</v>
      </c>
      <c r="J55" s="56">
        <f t="shared" si="0"/>
        <v>100</v>
      </c>
      <c r="K55" s="77">
        <f>IF(C55=0,"",100*D55/C55)</f>
        <v>52.851910893171429</v>
      </c>
      <c r="L55" s="79"/>
    </row>
    <row r="56" spans="1:26" s="5" customFormat="1" ht="13.5" customHeight="1" x14ac:dyDescent="0.2">
      <c r="A56" s="2"/>
      <c r="B56" s="85" t="s">
        <v>57</v>
      </c>
      <c r="C56" s="24">
        <f>42784919031.05</f>
        <v>42784919031.050003</v>
      </c>
      <c r="D56" s="24">
        <f>10664137621.63</f>
        <v>10664137621.629999</v>
      </c>
      <c r="E56" s="24">
        <f>0</f>
        <v>0</v>
      </c>
      <c r="F56" s="24">
        <f>0</f>
        <v>0</v>
      </c>
      <c r="G56" s="24">
        <f>0</f>
        <v>0</v>
      </c>
      <c r="H56" s="24">
        <f>0</f>
        <v>0</v>
      </c>
      <c r="I56" s="24">
        <f>0</f>
        <v>0</v>
      </c>
      <c r="J56" s="38">
        <f t="shared" si="0"/>
        <v>9.0710474693562517</v>
      </c>
      <c r="K56" s="78">
        <f>IF(C56=0,"",100*D56/C56)</f>
        <v>24.924991943751927</v>
      </c>
      <c r="L56" s="79"/>
    </row>
    <row r="57" spans="1:26" s="5" customFormat="1" ht="13.5" customHeight="1" x14ac:dyDescent="0.2">
      <c r="A57" s="2"/>
      <c r="B57" s="85" t="s">
        <v>58</v>
      </c>
      <c r="C57" s="24">
        <f>C55-C56</f>
        <v>179652377096.76001</v>
      </c>
      <c r="D57" s="24">
        <f t="shared" ref="D57:I57" si="6">D55-D56</f>
        <v>106898223921.01999</v>
      </c>
      <c r="E57" s="24">
        <f t="shared" si="6"/>
        <v>3172635816.1300001</v>
      </c>
      <c r="F57" s="24">
        <f t="shared" si="6"/>
        <v>378441367.22000003</v>
      </c>
      <c r="G57" s="24">
        <f t="shared" si="6"/>
        <v>41259391.049999997</v>
      </c>
      <c r="H57" s="24">
        <f t="shared" si="6"/>
        <v>98413062.840000004</v>
      </c>
      <c r="I57" s="24">
        <f t="shared" si="6"/>
        <v>4018518.81</v>
      </c>
      <c r="J57" s="38">
        <f t="shared" si="0"/>
        <v>90.928952530643741</v>
      </c>
      <c r="K57" s="78">
        <f>IF(C57=0,"",100*D57/C57)</f>
        <v>59.502816299193775</v>
      </c>
      <c r="L57" s="79"/>
    </row>
    <row r="58" spans="1:26" s="5" customFormat="1" ht="13.5" customHeight="1" x14ac:dyDescent="0.2">
      <c r="A58" s="2"/>
      <c r="B58" s="104" t="s">
        <v>91</v>
      </c>
      <c r="C58" s="104"/>
      <c r="D58" s="104"/>
      <c r="E58" s="104"/>
      <c r="F58" s="75"/>
      <c r="G58" s="75"/>
      <c r="H58" s="75"/>
      <c r="I58" s="75"/>
      <c r="J58" s="9"/>
      <c r="K58" s="9"/>
      <c r="L58" s="9"/>
    </row>
    <row r="59" spans="1:26" ht="15" x14ac:dyDescent="0.2">
      <c r="B59" s="90" t="str">
        <f>CONCATENATE("Informacja z wykonania budżetów gmin za ",$D$131," ",$C$132," rok     ",$C$134,"")</f>
        <v xml:space="preserve">Informacja z wykonania budżetów gmin za II Kwartały 2025 rok     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</row>
    <row r="60" spans="1:26" s="5" customFormat="1" ht="7.5" customHeight="1" x14ac:dyDescent="0.2">
      <c r="B60" s="6"/>
      <c r="C60" s="7"/>
      <c r="D60" s="8"/>
      <c r="E60" s="8"/>
      <c r="F60" s="4"/>
      <c r="G60" s="4"/>
      <c r="H60" s="4"/>
      <c r="I60" s="4"/>
      <c r="J60" s="4"/>
      <c r="K60" s="9"/>
      <c r="L60" s="9"/>
      <c r="M60" s="3"/>
    </row>
    <row r="61" spans="1:26" ht="29.25" customHeight="1" x14ac:dyDescent="0.2">
      <c r="B61" s="131" t="s">
        <v>0</v>
      </c>
      <c r="C61" s="115" t="s">
        <v>41</v>
      </c>
      <c r="D61" s="115" t="s">
        <v>43</v>
      </c>
      <c r="E61" s="115" t="s">
        <v>42</v>
      </c>
      <c r="F61" s="115" t="s">
        <v>12</v>
      </c>
      <c r="G61" s="115"/>
      <c r="H61" s="115"/>
      <c r="I61" s="134" t="s">
        <v>67</v>
      </c>
      <c r="J61" s="115" t="s">
        <v>2</v>
      </c>
      <c r="K61" s="112" t="s">
        <v>18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" customHeight="1" x14ac:dyDescent="0.2">
      <c r="B62" s="131"/>
      <c r="C62" s="115"/>
      <c r="D62" s="115"/>
      <c r="E62" s="116"/>
      <c r="F62" s="117" t="s">
        <v>44</v>
      </c>
      <c r="G62" s="118" t="s">
        <v>27</v>
      </c>
      <c r="H62" s="116"/>
      <c r="I62" s="135"/>
      <c r="J62" s="115"/>
      <c r="K62" s="112"/>
      <c r="L62" s="11"/>
      <c r="M62" s="1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.75" customHeight="1" x14ac:dyDescent="0.2">
      <c r="B63" s="131"/>
      <c r="C63" s="115"/>
      <c r="D63" s="115"/>
      <c r="E63" s="116"/>
      <c r="F63" s="116"/>
      <c r="G63" s="18" t="s">
        <v>39</v>
      </c>
      <c r="H63" s="18" t="s">
        <v>40</v>
      </c>
      <c r="I63" s="136"/>
      <c r="J63" s="115"/>
      <c r="K63" s="112"/>
      <c r="L63" s="11"/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 customHeight="1" x14ac:dyDescent="0.2">
      <c r="B64" s="131"/>
      <c r="C64" s="128" t="s">
        <v>61</v>
      </c>
      <c r="D64" s="129"/>
      <c r="E64" s="129"/>
      <c r="F64" s="129"/>
      <c r="G64" s="129"/>
      <c r="H64" s="129"/>
      <c r="I64" s="130"/>
      <c r="J64" s="133" t="s">
        <v>4</v>
      </c>
      <c r="K64" s="133"/>
      <c r="N64" s="2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ht="11.25" customHeight="1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0"/>
      <c r="N65" s="2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ht="25.5" customHeight="1" x14ac:dyDescent="0.2">
      <c r="B66" s="83" t="s">
        <v>48</v>
      </c>
      <c r="C66" s="57">
        <f>239676365370.58</f>
        <v>239676365370.57999</v>
      </c>
      <c r="D66" s="67">
        <f>99328142301.58</f>
        <v>99328142301.580002</v>
      </c>
      <c r="E66" s="67">
        <f>167619821147.07</f>
        <v>167619821147.07001</v>
      </c>
      <c r="F66" s="57">
        <f>4918407489.27</f>
        <v>4918407489.2700005</v>
      </c>
      <c r="G66" s="57">
        <f>7574397.03</f>
        <v>7574397.0300000003</v>
      </c>
      <c r="H66" s="57">
        <f>19081471.58</f>
        <v>19081471.579999998</v>
      </c>
      <c r="I66" s="68">
        <f>0</f>
        <v>0</v>
      </c>
      <c r="J66" s="52">
        <f>IF($D$66=0,"",100*$D66/$D$66)</f>
        <v>100</v>
      </c>
      <c r="K66" s="52">
        <f>IF(C66=0,"",100*D66/C66)</f>
        <v>41.442610391726355</v>
      </c>
      <c r="N66" s="76"/>
    </row>
    <row r="67" spans="2:26" ht="13.5" customHeight="1" x14ac:dyDescent="0.2">
      <c r="B67" s="84" t="s">
        <v>14</v>
      </c>
      <c r="C67" s="26">
        <f>67744869373.55</f>
        <v>67744869373.550003</v>
      </c>
      <c r="D67" s="26">
        <f>15713427684.78</f>
        <v>15713427684.780001</v>
      </c>
      <c r="E67" s="26">
        <f>36841550928.06</f>
        <v>36841550928.059998</v>
      </c>
      <c r="F67" s="26">
        <f>1751151563.3</f>
        <v>1751151563.3</v>
      </c>
      <c r="G67" s="26">
        <f>664006.48</f>
        <v>664006.48</v>
      </c>
      <c r="H67" s="26">
        <f>5290072.24</f>
        <v>5290072.24</v>
      </c>
      <c r="I67" s="69">
        <f>0</f>
        <v>0</v>
      </c>
      <c r="J67" s="52">
        <f t="shared" ref="J67:J75" si="7">IF($D$66=0,"",100*$D67/$D$66)</f>
        <v>15.819713648797444</v>
      </c>
      <c r="K67" s="52">
        <f t="shared" ref="K67:K75" si="8">IF(C67=0,"",100*D67/C67)</f>
        <v>23.195007725433861</v>
      </c>
      <c r="N67" s="60"/>
    </row>
    <row r="68" spans="2:26" ht="13.5" customHeight="1" outlineLevel="1" x14ac:dyDescent="0.2">
      <c r="B68" s="32" t="s">
        <v>13</v>
      </c>
      <c r="C68" s="22">
        <f>66229393851.83</f>
        <v>66229393851.830002</v>
      </c>
      <c r="D68" s="22">
        <f>14862448897.79</f>
        <v>14862448897.790001</v>
      </c>
      <c r="E68" s="22">
        <f>35905820539</f>
        <v>35905820539</v>
      </c>
      <c r="F68" s="22">
        <f>1729453907.55</f>
        <v>1729453907.55</v>
      </c>
      <c r="G68" s="22">
        <f>664006.48</f>
        <v>664006.48</v>
      </c>
      <c r="H68" s="22">
        <f>5290072.24</f>
        <v>5290072.24</v>
      </c>
      <c r="I68" s="65">
        <f>0</f>
        <v>0</v>
      </c>
      <c r="J68" s="52">
        <f t="shared" si="7"/>
        <v>14.962978822924773</v>
      </c>
      <c r="K68" s="52">
        <f t="shared" si="8"/>
        <v>22.44086505010242</v>
      </c>
      <c r="N68" s="75"/>
    </row>
    <row r="69" spans="2:26" ht="27" customHeight="1" x14ac:dyDescent="0.2">
      <c r="B69" s="84" t="s">
        <v>49</v>
      </c>
      <c r="C69" s="26">
        <f t="shared" ref="C69:I69" si="9">C66-C67</f>
        <v>171931495997.02997</v>
      </c>
      <c r="D69" s="26">
        <f>D66-D67</f>
        <v>83614714616.800003</v>
      </c>
      <c r="E69" s="26">
        <f>E66-E67</f>
        <v>130778270219.01001</v>
      </c>
      <c r="F69" s="26">
        <f t="shared" si="9"/>
        <v>3167255925.9700003</v>
      </c>
      <c r="G69" s="26">
        <f t="shared" si="9"/>
        <v>6910390.5500000007</v>
      </c>
      <c r="H69" s="26">
        <f t="shared" si="9"/>
        <v>13791399.339999998</v>
      </c>
      <c r="I69" s="69">
        <f t="shared" si="9"/>
        <v>0</v>
      </c>
      <c r="J69" s="52">
        <f t="shared" si="7"/>
        <v>84.180286351202554</v>
      </c>
      <c r="K69" s="52">
        <f t="shared" si="8"/>
        <v>48.632575510332558</v>
      </c>
      <c r="N69" s="60"/>
    </row>
    <row r="70" spans="2:26" ht="22.5" outlineLevel="1" x14ac:dyDescent="0.2">
      <c r="B70" s="32" t="s">
        <v>83</v>
      </c>
      <c r="C70" s="22">
        <f>82794425850.2399</f>
        <v>82794425850.239899</v>
      </c>
      <c r="D70" s="22">
        <f>41415167976.9902</f>
        <v>41415167976.990196</v>
      </c>
      <c r="E70" s="22">
        <f>71639109104.8799</f>
        <v>71639109104.879898</v>
      </c>
      <c r="F70" s="22">
        <f>1438547079.72</f>
        <v>1438547079.72</v>
      </c>
      <c r="G70" s="22">
        <f>727546.15</f>
        <v>727546.15</v>
      </c>
      <c r="H70" s="22">
        <f>1707781.87</f>
        <v>1707781.87</v>
      </c>
      <c r="I70" s="65">
        <f>0</f>
        <v>0</v>
      </c>
      <c r="J70" s="52">
        <f t="shared" si="7"/>
        <v>41.695301067088828</v>
      </c>
      <c r="K70" s="52">
        <f t="shared" si="8"/>
        <v>50.021686305190066</v>
      </c>
      <c r="N70" s="75"/>
    </row>
    <row r="71" spans="2:26" ht="13.5" customHeight="1" outlineLevel="1" x14ac:dyDescent="0.2">
      <c r="B71" s="54" t="s">
        <v>38</v>
      </c>
      <c r="C71" s="59">
        <f>17055235229.04</f>
        <v>17055235229.040001</v>
      </c>
      <c r="D71" s="59">
        <f>8714656569.40999</f>
        <v>8714656569.4099903</v>
      </c>
      <c r="E71" s="59">
        <f>11909309761.97</f>
        <v>11909309761.969999</v>
      </c>
      <c r="F71" s="59">
        <f>84749489.81</f>
        <v>84749489.810000002</v>
      </c>
      <c r="G71" s="59">
        <f>0</f>
        <v>0</v>
      </c>
      <c r="H71" s="59">
        <f>82500</f>
        <v>82500</v>
      </c>
      <c r="I71" s="70">
        <f>0</f>
        <v>0</v>
      </c>
      <c r="J71" s="52">
        <f t="shared" si="7"/>
        <v>8.7736026945420562</v>
      </c>
      <c r="K71" s="52">
        <f t="shared" si="8"/>
        <v>51.096665934994071</v>
      </c>
      <c r="N71" s="74"/>
    </row>
    <row r="72" spans="2:26" ht="13.5" customHeight="1" outlineLevel="1" x14ac:dyDescent="0.2">
      <c r="B72" s="54" t="s">
        <v>37</v>
      </c>
      <c r="C72" s="24">
        <f>2860541483.98</f>
        <v>2860541483.98</v>
      </c>
      <c r="D72" s="24">
        <f>1339300393.39</f>
        <v>1339300393.3900001</v>
      </c>
      <c r="E72" s="24">
        <f>1670128634.36</f>
        <v>1670128634.3599999</v>
      </c>
      <c r="F72" s="24">
        <f>72803082.02</f>
        <v>72803082.019999996</v>
      </c>
      <c r="G72" s="24">
        <f>0</f>
        <v>0</v>
      </c>
      <c r="H72" s="24">
        <f>0</f>
        <v>0</v>
      </c>
      <c r="I72" s="71">
        <f>0</f>
        <v>0</v>
      </c>
      <c r="J72" s="52">
        <f t="shared" si="7"/>
        <v>1.3483594501582621</v>
      </c>
      <c r="K72" s="52">
        <f t="shared" si="8"/>
        <v>46.819820683969638</v>
      </c>
      <c r="N72" s="75"/>
    </row>
    <row r="73" spans="2:26" ht="24" customHeight="1" outlineLevel="1" x14ac:dyDescent="0.2">
      <c r="B73" s="54" t="s">
        <v>55</v>
      </c>
      <c r="C73" s="59">
        <f>131066053.57</f>
        <v>131066053.56999999</v>
      </c>
      <c r="D73" s="59">
        <f>987169.56</f>
        <v>987169.56</v>
      </c>
      <c r="E73" s="59">
        <f>4003680.31</f>
        <v>4003680.31</v>
      </c>
      <c r="F73" s="59">
        <f>0</f>
        <v>0</v>
      </c>
      <c r="G73" s="59">
        <f>0</f>
        <v>0</v>
      </c>
      <c r="H73" s="59">
        <f>0</f>
        <v>0</v>
      </c>
      <c r="I73" s="70">
        <f>0</f>
        <v>0</v>
      </c>
      <c r="J73" s="52">
        <f t="shared" si="7"/>
        <v>9.9384679621084297E-4</v>
      </c>
      <c r="K73" s="52">
        <f t="shared" si="8"/>
        <v>0.75318477447920618</v>
      </c>
      <c r="N73" s="74"/>
    </row>
    <row r="74" spans="2:26" ht="22.5" outlineLevel="1" x14ac:dyDescent="0.2">
      <c r="B74" s="54" t="s">
        <v>56</v>
      </c>
      <c r="C74" s="59">
        <f>15973272148.92</f>
        <v>15973272148.92</v>
      </c>
      <c r="D74" s="59">
        <f>9318353163.46</f>
        <v>9318353163.4599991</v>
      </c>
      <c r="E74" s="59">
        <f>12837577909.89</f>
        <v>12837577909.889999</v>
      </c>
      <c r="F74" s="59">
        <f>185664338.77</f>
        <v>185664338.77000001</v>
      </c>
      <c r="G74" s="59">
        <f>185176.13</f>
        <v>185176.13</v>
      </c>
      <c r="H74" s="59">
        <f>108271.76</f>
        <v>108271.76</v>
      </c>
      <c r="I74" s="72">
        <f>0</f>
        <v>0</v>
      </c>
      <c r="J74" s="52">
        <f t="shared" si="7"/>
        <v>9.3813827053843664</v>
      </c>
      <c r="K74" s="52">
        <f t="shared" si="8"/>
        <v>58.337158952682344</v>
      </c>
      <c r="N74" s="74"/>
    </row>
    <row r="75" spans="2:26" ht="13.5" customHeight="1" outlineLevel="1" x14ac:dyDescent="0.2">
      <c r="B75" s="54" t="s">
        <v>36</v>
      </c>
      <c r="C75" s="24">
        <f t="shared" ref="C75:I75" si="10">C69-C70-C71-C72-C73-C74</f>
        <v>53116955231.28006</v>
      </c>
      <c r="D75" s="24">
        <f>D69-D70-D71-D72-D73-D74</f>
        <v>22826249343.989819</v>
      </c>
      <c r="E75" s="24">
        <f>E69-E70-E71-E72-E73-E74</f>
        <v>32718141127.600113</v>
      </c>
      <c r="F75" s="24">
        <f t="shared" si="10"/>
        <v>1385491935.6500003</v>
      </c>
      <c r="G75" s="24">
        <f t="shared" si="10"/>
        <v>5997668.2700000005</v>
      </c>
      <c r="H75" s="24">
        <f t="shared" si="10"/>
        <v>11892845.709999999</v>
      </c>
      <c r="I75" s="70">
        <f t="shared" si="10"/>
        <v>0</v>
      </c>
      <c r="J75" s="52">
        <f t="shared" si="7"/>
        <v>22.980646587232837</v>
      </c>
      <c r="K75" s="52">
        <f t="shared" si="8"/>
        <v>42.973565116073637</v>
      </c>
      <c r="N75" s="75"/>
    </row>
    <row r="76" spans="2:26" ht="18" customHeight="1" x14ac:dyDescent="0.2">
      <c r="B76" s="83" t="s">
        <v>15</v>
      </c>
      <c r="C76" s="26">
        <f>C6-C66</f>
        <v>-17239069242.769989</v>
      </c>
      <c r="D76" s="26">
        <f>D6-D66</f>
        <v>18234219241.069992</v>
      </c>
      <c r="E76" s="80"/>
      <c r="F76" s="60"/>
      <c r="G76" s="60"/>
      <c r="H76" s="60"/>
      <c r="I76" s="81"/>
      <c r="J76" s="28"/>
      <c r="K76" s="28"/>
      <c r="L76" s="13"/>
      <c r="N76" s="60"/>
    </row>
    <row r="77" spans="2:26" ht="25.5" x14ac:dyDescent="0.2">
      <c r="B77" s="86" t="s">
        <v>123</v>
      </c>
      <c r="C77" s="26">
        <f>+C57-C69</f>
        <v>7720881099.7300415</v>
      </c>
      <c r="D77" s="26">
        <f>+D57-D69</f>
        <v>23283509304.219986</v>
      </c>
      <c r="E77" s="80"/>
      <c r="F77" s="60"/>
      <c r="G77" s="60"/>
      <c r="H77" s="60"/>
      <c r="I77" s="60"/>
      <c r="J77" s="28"/>
      <c r="K77" s="28"/>
      <c r="L77" s="13"/>
      <c r="N77" s="60"/>
    </row>
    <row r="78" spans="2:26" outlineLevel="1" x14ac:dyDescent="0.2">
      <c r="B78" s="105"/>
      <c r="C78" s="60"/>
      <c r="D78" s="60"/>
      <c r="E78" s="60"/>
      <c r="F78" s="60"/>
      <c r="G78" s="60"/>
      <c r="H78" s="60"/>
      <c r="I78" s="60"/>
      <c r="J78" s="28"/>
      <c r="K78" s="28"/>
      <c r="L78" s="13"/>
      <c r="N78" s="60"/>
    </row>
    <row r="79" spans="2:26" outlineLevel="1" x14ac:dyDescent="0.2">
      <c r="B79" s="105"/>
      <c r="C79" s="60"/>
      <c r="D79" s="60"/>
      <c r="E79" s="60"/>
      <c r="F79" s="60"/>
      <c r="G79" s="60"/>
      <c r="H79" s="60"/>
      <c r="I79" s="60"/>
      <c r="J79" s="28"/>
      <c r="K79" s="28"/>
      <c r="L79" s="13"/>
      <c r="N79" s="60"/>
    </row>
    <row r="80" spans="2:26" ht="12.75" customHeight="1" outlineLevel="1" x14ac:dyDescent="0.2">
      <c r="B80" s="138" t="s">
        <v>120</v>
      </c>
      <c r="C80" s="139" t="s">
        <v>105</v>
      </c>
      <c r="D80" s="139"/>
      <c r="E80" s="139" t="s">
        <v>106</v>
      </c>
      <c r="F80" s="139"/>
      <c r="G80" s="106" t="s">
        <v>124</v>
      </c>
      <c r="H80" s="60"/>
      <c r="I80" s="28"/>
      <c r="J80" s="28"/>
      <c r="K80" s="13"/>
      <c r="M80" s="60"/>
    </row>
    <row r="81" spans="1:14" outlineLevel="1" x14ac:dyDescent="0.2">
      <c r="B81" s="138"/>
      <c r="C81" s="107" t="s">
        <v>107</v>
      </c>
      <c r="D81" s="107" t="s">
        <v>108</v>
      </c>
      <c r="E81" s="107" t="s">
        <v>107</v>
      </c>
      <c r="F81" s="107" t="s">
        <v>108</v>
      </c>
      <c r="G81" s="107" t="s">
        <v>107</v>
      </c>
      <c r="H81" s="60"/>
      <c r="I81" s="28"/>
      <c r="J81" s="28"/>
      <c r="K81" s="13"/>
      <c r="M81" s="60"/>
    </row>
    <row r="82" spans="1:14" outlineLevel="1" x14ac:dyDescent="0.2">
      <c r="B82" s="110" t="s">
        <v>119</v>
      </c>
      <c r="C82" s="108">
        <f>175</f>
        <v>175</v>
      </c>
      <c r="D82" s="111">
        <f>296200366.94</f>
        <v>296200366.94</v>
      </c>
      <c r="E82" s="108">
        <f>2232</f>
        <v>2232</v>
      </c>
      <c r="F82" s="111">
        <f>+-17535269609.71</f>
        <v>-17535269609.709999</v>
      </c>
      <c r="G82" s="108">
        <f>6</f>
        <v>6</v>
      </c>
      <c r="H82" s="60"/>
      <c r="I82" s="28"/>
      <c r="J82" s="28"/>
      <c r="K82" s="13"/>
      <c r="M82" s="60"/>
    </row>
    <row r="83" spans="1:14" outlineLevel="1" x14ac:dyDescent="0.2">
      <c r="B83" s="110" t="s">
        <v>121</v>
      </c>
      <c r="C83" s="108">
        <f>2264</f>
        <v>2264</v>
      </c>
      <c r="D83" s="111">
        <f>18679340173.28</f>
        <v>18679340173.279999</v>
      </c>
      <c r="E83" s="108">
        <f>149</f>
        <v>149</v>
      </c>
      <c r="F83" s="111">
        <f>+-445120932.21</f>
        <v>-445120932.20999998</v>
      </c>
      <c r="G83" s="108">
        <f>0</f>
        <v>0</v>
      </c>
      <c r="H83" s="60"/>
      <c r="I83" s="28"/>
      <c r="J83" s="28"/>
      <c r="K83" s="13"/>
      <c r="M83" s="60"/>
    </row>
    <row r="84" spans="1:14" outlineLevel="1" x14ac:dyDescent="0.2">
      <c r="A84" s="33"/>
      <c r="B84" s="109"/>
      <c r="C84" s="109"/>
      <c r="D84" s="109"/>
      <c r="E84" s="109"/>
      <c r="F84" s="109"/>
      <c r="G84" s="109"/>
      <c r="H84" s="60"/>
      <c r="I84" s="28"/>
      <c r="J84" s="28"/>
      <c r="K84" s="13"/>
      <c r="M84" s="60"/>
    </row>
    <row r="85" spans="1:14" ht="12.75" customHeight="1" outlineLevel="1" x14ac:dyDescent="0.2">
      <c r="A85" s="33"/>
      <c r="B85" s="138" t="s">
        <v>122</v>
      </c>
      <c r="C85" s="139" t="s">
        <v>105</v>
      </c>
      <c r="D85" s="139"/>
      <c r="E85" s="139" t="s">
        <v>106</v>
      </c>
      <c r="F85" s="139"/>
      <c r="G85" s="106" t="s">
        <v>124</v>
      </c>
      <c r="H85" s="60"/>
      <c r="I85" s="28"/>
      <c r="J85" s="28"/>
      <c r="K85" s="13"/>
      <c r="M85" s="60"/>
    </row>
    <row r="86" spans="1:14" outlineLevel="1" x14ac:dyDescent="0.2">
      <c r="A86" s="33"/>
      <c r="B86" s="138"/>
      <c r="C86" s="107" t="s">
        <v>107</v>
      </c>
      <c r="D86" s="107" t="s">
        <v>108</v>
      </c>
      <c r="E86" s="107" t="s">
        <v>107</v>
      </c>
      <c r="F86" s="107" t="s">
        <v>108</v>
      </c>
      <c r="G86" s="107" t="s">
        <v>107</v>
      </c>
      <c r="H86" s="60"/>
      <c r="I86" s="28"/>
      <c r="J86" s="28"/>
      <c r="K86" s="13"/>
      <c r="M86" s="60"/>
    </row>
    <row r="87" spans="1:14" outlineLevel="1" x14ac:dyDescent="0.2">
      <c r="A87" s="33"/>
      <c r="B87" s="110" t="s">
        <v>119</v>
      </c>
      <c r="C87" s="108">
        <f>2011</f>
        <v>2011</v>
      </c>
      <c r="D87" s="111">
        <f>8410149446.43</f>
        <v>8410149446.4300003</v>
      </c>
      <c r="E87" s="108">
        <f>402</f>
        <v>402</v>
      </c>
      <c r="F87" s="111">
        <f>+-689268346.7</f>
        <v>-689268346.70000005</v>
      </c>
      <c r="G87" s="108">
        <f>0</f>
        <v>0</v>
      </c>
      <c r="H87" s="60"/>
      <c r="I87" s="28"/>
      <c r="J87" s="28"/>
      <c r="K87" s="13"/>
      <c r="M87" s="60"/>
    </row>
    <row r="88" spans="1:14" outlineLevel="1" x14ac:dyDescent="0.2">
      <c r="A88" s="33"/>
      <c r="B88" s="110" t="s">
        <v>121</v>
      </c>
      <c r="C88" s="108">
        <f>2411</f>
        <v>2411</v>
      </c>
      <c r="D88" s="111">
        <f>23286025158.52</f>
        <v>23286025158.52</v>
      </c>
      <c r="E88" s="108">
        <f>2</f>
        <v>2</v>
      </c>
      <c r="F88" s="111">
        <f>+-2515854.3</f>
        <v>-2515854.2999999998</v>
      </c>
      <c r="G88" s="108">
        <f>0</f>
        <v>0</v>
      </c>
      <c r="H88" s="60"/>
      <c r="I88" s="28"/>
      <c r="J88" s="28"/>
      <c r="K88" s="13"/>
      <c r="M88" s="60"/>
    </row>
    <row r="89" spans="1:14" outlineLevel="1" x14ac:dyDescent="0.2">
      <c r="B89" s="105"/>
      <c r="C89" s="60"/>
      <c r="D89" s="60"/>
      <c r="E89" s="60"/>
      <c r="F89" s="60"/>
      <c r="G89" s="60"/>
      <c r="H89" s="60"/>
      <c r="I89" s="60"/>
      <c r="J89" s="28"/>
      <c r="K89" s="28"/>
      <c r="L89" s="13"/>
      <c r="N89" s="60"/>
    </row>
    <row r="90" spans="1:14" x14ac:dyDescent="0.2">
      <c r="B90" s="105"/>
      <c r="C90" s="60"/>
      <c r="D90" s="60"/>
      <c r="E90" s="60"/>
      <c r="F90" s="60"/>
      <c r="G90" s="60"/>
      <c r="H90" s="60"/>
      <c r="I90" s="60"/>
      <c r="J90" s="28"/>
      <c r="K90" s="28"/>
      <c r="L90" s="13"/>
      <c r="N90" s="60"/>
    </row>
    <row r="91" spans="1:14" ht="14.25" customHeight="1" x14ac:dyDescent="0.2">
      <c r="B91" s="102" t="s">
        <v>92</v>
      </c>
      <c r="C91" s="103"/>
      <c r="D91" s="103"/>
      <c r="E91" s="103"/>
      <c r="F91" s="103"/>
      <c r="G91" s="60"/>
      <c r="H91" s="60"/>
      <c r="I91" s="60"/>
      <c r="J91" s="60"/>
      <c r="K91" s="28"/>
      <c r="L91" s="28"/>
      <c r="M91" s="13"/>
    </row>
    <row r="92" spans="1:14" ht="27" customHeight="1" x14ac:dyDescent="0.2">
      <c r="B92" s="83" t="s">
        <v>88</v>
      </c>
      <c r="C92" s="41">
        <f>15320324064.54</f>
        <v>15320324064.540001</v>
      </c>
      <c r="D92" s="41">
        <f>2818117813.15</f>
        <v>2818117813.1500001</v>
      </c>
      <c r="E92" s="41">
        <f>6174451600.29</f>
        <v>6174451600.29</v>
      </c>
      <c r="F92" s="41">
        <f>262848900.06</f>
        <v>262848900.06</v>
      </c>
      <c r="G92" s="41">
        <f>205442.95</f>
        <v>205442.95</v>
      </c>
      <c r="H92" s="41">
        <f>530059.03</f>
        <v>530059.03</v>
      </c>
      <c r="I92" s="41">
        <f>0</f>
        <v>0</v>
      </c>
      <c r="J92" s="61">
        <f>IF($D$92=0,"",100*$D92/$D$92)</f>
        <v>100</v>
      </c>
      <c r="K92" s="61">
        <f>IF(C92=0,"",100*D92/C92)</f>
        <v>18.394635787585838</v>
      </c>
      <c r="L92" s="13"/>
    </row>
    <row r="93" spans="1:14" ht="15" customHeight="1" x14ac:dyDescent="0.2">
      <c r="B93" s="87" t="s">
        <v>59</v>
      </c>
      <c r="C93" s="22">
        <f>13003000172.39</f>
        <v>13003000172.389999</v>
      </c>
      <c r="D93" s="22">
        <f>2231979413.14</f>
        <v>2231979413.1399999</v>
      </c>
      <c r="E93" s="22">
        <f>5222707036.8</f>
        <v>5222707036.8000002</v>
      </c>
      <c r="F93" s="22">
        <f>242980920.62</f>
        <v>242980920.62</v>
      </c>
      <c r="G93" s="22">
        <f>205442.95</f>
        <v>205442.95</v>
      </c>
      <c r="H93" s="22">
        <f>530059.03</f>
        <v>530059.03</v>
      </c>
      <c r="I93" s="22">
        <f>0</f>
        <v>0</v>
      </c>
      <c r="J93" s="61">
        <f>IF($D$92=0,"",100*$D93/$D$92)</f>
        <v>79.20106827064005</v>
      </c>
      <c r="K93" s="61">
        <f>IF(C93=0,"",100*D93/C93)</f>
        <v>17.165111001684728</v>
      </c>
      <c r="L93" s="13"/>
    </row>
    <row r="94" spans="1:14" ht="14.25" customHeight="1" x14ac:dyDescent="0.2">
      <c r="B94" s="88" t="s">
        <v>60</v>
      </c>
      <c r="C94" s="22">
        <f>+C92-C93</f>
        <v>2317323892.1500015</v>
      </c>
      <c r="D94" s="22">
        <f t="shared" ref="D94:I94" si="11">+D92-D93</f>
        <v>586138400.01000023</v>
      </c>
      <c r="E94" s="22">
        <f t="shared" si="11"/>
        <v>951744563.48999977</v>
      </c>
      <c r="F94" s="22">
        <f t="shared" si="11"/>
        <v>19867979.439999998</v>
      </c>
      <c r="G94" s="22">
        <f t="shared" si="11"/>
        <v>0</v>
      </c>
      <c r="H94" s="22">
        <f t="shared" si="11"/>
        <v>0</v>
      </c>
      <c r="I94" s="22">
        <f t="shared" si="11"/>
        <v>0</v>
      </c>
      <c r="J94" s="61">
        <f>IF($D$92=0,"",100*$D94/$D$92)</f>
        <v>20.798931729359953</v>
      </c>
      <c r="K94" s="61">
        <f>IF(C94=0,"",100*D94/C94)</f>
        <v>25.293762429825204</v>
      </c>
      <c r="L94" s="10"/>
    </row>
    <row r="95" spans="1:14" ht="15" x14ac:dyDescent="0.2">
      <c r="B95" s="90" t="str">
        <f>CONCATENATE("Informacja z wykonania budżetów gmin za ",$D$131," ",$C$132," rok     ",$C$134,"")</f>
        <v xml:space="preserve">Informacja z wykonania budżetów gmin za II Kwartały 2025 rok     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</row>
    <row r="97" spans="2:13" ht="18" customHeight="1" x14ac:dyDescent="0.2">
      <c r="B97" s="40" t="s">
        <v>16</v>
      </c>
      <c r="C97" s="66" t="s">
        <v>17</v>
      </c>
      <c r="D97" s="66" t="s">
        <v>1</v>
      </c>
      <c r="E97" s="119" t="s">
        <v>45</v>
      </c>
      <c r="F97" s="120"/>
      <c r="G97" s="120"/>
      <c r="H97" s="120"/>
      <c r="I97" s="121"/>
      <c r="J97" s="19" t="s">
        <v>22</v>
      </c>
      <c r="K97" s="19" t="s">
        <v>23</v>
      </c>
    </row>
    <row r="98" spans="2:13" ht="13.5" customHeight="1" x14ac:dyDescent="0.2">
      <c r="B98" s="40"/>
      <c r="C98" s="117" t="s">
        <v>61</v>
      </c>
      <c r="D98" s="132"/>
      <c r="E98" s="122"/>
      <c r="F98" s="123"/>
      <c r="G98" s="123"/>
      <c r="H98" s="123"/>
      <c r="I98" s="124"/>
      <c r="J98" s="117" t="s">
        <v>4</v>
      </c>
      <c r="K98" s="137"/>
      <c r="M98" s="14"/>
    </row>
    <row r="99" spans="2:13" ht="11.25" customHeight="1" x14ac:dyDescent="0.2">
      <c r="B99" s="39">
        <v>1</v>
      </c>
      <c r="C99" s="42">
        <v>2</v>
      </c>
      <c r="D99" s="42">
        <v>3</v>
      </c>
      <c r="E99" s="125"/>
      <c r="F99" s="126"/>
      <c r="G99" s="126"/>
      <c r="H99" s="126"/>
      <c r="I99" s="127"/>
      <c r="J99" s="31">
        <v>4</v>
      </c>
      <c r="K99" s="31">
        <v>5</v>
      </c>
      <c r="M99" s="10"/>
    </row>
    <row r="100" spans="2:13" ht="27" customHeight="1" x14ac:dyDescent="0.2">
      <c r="B100" s="89" t="s">
        <v>50</v>
      </c>
      <c r="C100" s="43">
        <f>23180189608.6</f>
        <v>23180189608.599998</v>
      </c>
      <c r="D100" s="43">
        <f>20955330967.24</f>
        <v>20955330967.240002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37">
        <f t="shared" ref="J100:J110" si="12">IF($D$100=0,"",100*$D100/$D$100)</f>
        <v>100</v>
      </c>
      <c r="K100" s="36">
        <f t="shared" ref="K100:K115" si="13">IF(C100=0,"",100*D100/C100)</f>
        <v>90.401896278990918</v>
      </c>
    </row>
    <row r="101" spans="2:13" ht="36" customHeight="1" x14ac:dyDescent="0.2">
      <c r="B101" s="97" t="s">
        <v>89</v>
      </c>
      <c r="C101" s="44">
        <f>10895254970.57</f>
        <v>10895254970.57</v>
      </c>
      <c r="D101" s="44">
        <f>721757766.61</f>
        <v>721757766.61000001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50">
        <f t="shared" si="12"/>
        <v>3.4442680372757755</v>
      </c>
      <c r="K101" s="51">
        <f t="shared" si="13"/>
        <v>6.6245146952466438</v>
      </c>
    </row>
    <row r="102" spans="2:13" ht="22.5" x14ac:dyDescent="0.2">
      <c r="B102" s="98" t="s">
        <v>68</v>
      </c>
      <c r="C102" s="62">
        <f>378978579.88</f>
        <v>378978579.88</v>
      </c>
      <c r="D102" s="62">
        <f>37996800</f>
        <v>37996800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3">
        <f t="shared" si="12"/>
        <v>0.18132283407692942</v>
      </c>
      <c r="K102" s="58">
        <f t="shared" si="13"/>
        <v>10.026107547300253</v>
      </c>
    </row>
    <row r="103" spans="2:13" ht="13.5" customHeight="1" x14ac:dyDescent="0.2">
      <c r="B103" s="99" t="s">
        <v>69</v>
      </c>
      <c r="C103" s="62">
        <f>194372202.43</f>
        <v>194372202.43000001</v>
      </c>
      <c r="D103" s="62">
        <f>29572831.38</f>
        <v>29572831.379999999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3">
        <f t="shared" si="12"/>
        <v>0.14112318925543077</v>
      </c>
      <c r="K103" s="58">
        <f t="shared" si="13"/>
        <v>15.214537372261434</v>
      </c>
    </row>
    <row r="104" spans="2:13" ht="50.1" customHeight="1" x14ac:dyDescent="0.2">
      <c r="B104" s="99" t="s">
        <v>84</v>
      </c>
      <c r="C104" s="62">
        <f>2992415264.84</f>
        <v>2992415264.8400002</v>
      </c>
      <c r="D104" s="62">
        <f>6571692490.92</f>
        <v>6571692490.9200001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3">
        <f t="shared" si="12"/>
        <v>31.360480544037664</v>
      </c>
      <c r="K104" s="58">
        <f t="shared" si="13"/>
        <v>219.61164842779192</v>
      </c>
    </row>
    <row r="105" spans="2:13" ht="35.1" customHeight="1" x14ac:dyDescent="0.2">
      <c r="B105" s="99" t="s">
        <v>99</v>
      </c>
      <c r="C105" s="62">
        <f>2258138189.78</f>
        <v>2258138189.7800002</v>
      </c>
      <c r="D105" s="62">
        <f>2678536933.61</f>
        <v>2678536933.6100001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3">
        <f t="shared" si="12"/>
        <v>12.782126599658218</v>
      </c>
      <c r="K105" s="58">
        <f t="shared" si="13"/>
        <v>118.61705123861164</v>
      </c>
    </row>
    <row r="106" spans="2:13" ht="13.5" customHeight="1" x14ac:dyDescent="0.2">
      <c r="B106" s="99" t="s">
        <v>70</v>
      </c>
      <c r="C106" s="62">
        <f>0</f>
        <v>0</v>
      </c>
      <c r="D106" s="62">
        <f>1180000</f>
        <v>1180000</v>
      </c>
      <c r="E106" s="43" t="s">
        <v>45</v>
      </c>
      <c r="F106" s="43" t="s">
        <v>45</v>
      </c>
      <c r="G106" s="43" t="s">
        <v>45</v>
      </c>
      <c r="H106" s="43" t="s">
        <v>45</v>
      </c>
      <c r="I106" s="43" t="s">
        <v>45</v>
      </c>
      <c r="J106" s="63">
        <f t="shared" si="12"/>
        <v>5.6310253550503394E-3</v>
      </c>
      <c r="K106" s="58" t="str">
        <f t="shared" si="13"/>
        <v/>
      </c>
    </row>
    <row r="107" spans="2:13" ht="35.1" customHeight="1" x14ac:dyDescent="0.2">
      <c r="B107" s="99" t="s">
        <v>78</v>
      </c>
      <c r="C107" s="62">
        <f>6332100471.15</f>
        <v>6332100471.1499996</v>
      </c>
      <c r="D107" s="62">
        <f>10220365844.83</f>
        <v>10220365844.83</v>
      </c>
      <c r="E107" s="43" t="s">
        <v>45</v>
      </c>
      <c r="F107" s="43" t="s">
        <v>45</v>
      </c>
      <c r="G107" s="43" t="s">
        <v>45</v>
      </c>
      <c r="H107" s="43" t="s">
        <v>45</v>
      </c>
      <c r="I107" s="43" t="s">
        <v>45</v>
      </c>
      <c r="J107" s="63">
        <f t="shared" si="12"/>
        <v>48.772151872990008</v>
      </c>
      <c r="K107" s="58">
        <f t="shared" si="13"/>
        <v>161.40561716282807</v>
      </c>
    </row>
    <row r="108" spans="2:13" ht="56.25" x14ac:dyDescent="0.2">
      <c r="B108" s="99" t="s">
        <v>100</v>
      </c>
      <c r="C108" s="62">
        <f>0</f>
        <v>0</v>
      </c>
      <c r="D108" s="62">
        <f>233750075.67</f>
        <v>233750075.66999999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3"/>
      <c r="K108" s="58"/>
    </row>
    <row r="109" spans="2:13" x14ac:dyDescent="0.2">
      <c r="B109" s="99" t="s">
        <v>94</v>
      </c>
      <c r="C109" s="62">
        <f>507908509.83</f>
        <v>507908509.82999998</v>
      </c>
      <c r="D109" s="62">
        <f>498475024.22</f>
        <v>498475024.22000003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63"/>
      <c r="K109" s="58"/>
    </row>
    <row r="110" spans="2:13" ht="22.5" x14ac:dyDescent="0.2">
      <c r="B110" s="98" t="s">
        <v>95</v>
      </c>
      <c r="C110" s="62">
        <f>498980598.62</f>
        <v>498980598.62</v>
      </c>
      <c r="D110" s="62">
        <f>486200820.45</f>
        <v>486200820.44999999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63">
        <f t="shared" si="12"/>
        <v>2.3201772437290065</v>
      </c>
      <c r="K110" s="58">
        <f t="shared" si="13"/>
        <v>97.438822630510231</v>
      </c>
    </row>
    <row r="111" spans="2:13" ht="27" customHeight="1" x14ac:dyDescent="0.2">
      <c r="B111" s="89" t="s">
        <v>51</v>
      </c>
      <c r="C111" s="49">
        <f>5938367428.5</f>
        <v>5938367428.5</v>
      </c>
      <c r="D111" s="49">
        <f>3259156364.48</f>
        <v>3259156364.48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37">
        <f t="shared" ref="J111:J116" si="14">IF($D$111=0,"",100*$D111/$D$111)</f>
        <v>100</v>
      </c>
      <c r="K111" s="36">
        <f t="shared" si="13"/>
        <v>54.883036520076793</v>
      </c>
    </row>
    <row r="112" spans="2:13" ht="36" customHeight="1" x14ac:dyDescent="0.2">
      <c r="B112" s="97" t="s">
        <v>86</v>
      </c>
      <c r="C112" s="44">
        <f>5577755502.14</f>
        <v>5577755502.1400003</v>
      </c>
      <c r="D112" s="48">
        <f>2267488873.88</f>
        <v>2267488873.8800001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50">
        <f t="shared" si="14"/>
        <v>69.572877772674119</v>
      </c>
      <c r="K112" s="51">
        <f t="shared" si="13"/>
        <v>40.65235331685011</v>
      </c>
    </row>
    <row r="113" spans="2:11" ht="13.5" customHeight="1" x14ac:dyDescent="0.2">
      <c r="B113" s="98" t="s">
        <v>71</v>
      </c>
      <c r="C113" s="62">
        <f>289957795.31</f>
        <v>289957795.31</v>
      </c>
      <c r="D113" s="62">
        <f>25048972.7</f>
        <v>25048972.699999999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63">
        <f t="shared" si="14"/>
        <v>0.76857228984153314</v>
      </c>
      <c r="K113" s="58">
        <f t="shared" si="13"/>
        <v>8.6388340321113333</v>
      </c>
    </row>
    <row r="114" spans="2:11" ht="13.5" customHeight="1" x14ac:dyDescent="0.2">
      <c r="B114" s="99" t="s">
        <v>72</v>
      </c>
      <c r="C114" s="62">
        <f>103441938.74</f>
        <v>103441938.73999999</v>
      </c>
      <c r="D114" s="62">
        <f>64041440.19</f>
        <v>64041440.189999998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63">
        <f t="shared" si="14"/>
        <v>1.9649698580883475</v>
      </c>
      <c r="K114" s="58">
        <f t="shared" si="13"/>
        <v>61.910518083934363</v>
      </c>
    </row>
    <row r="115" spans="2:11" ht="13.5" customHeight="1" x14ac:dyDescent="0.2">
      <c r="B115" s="99" t="s">
        <v>98</v>
      </c>
      <c r="C115" s="62">
        <f>257169987.62</f>
        <v>257169987.62</v>
      </c>
      <c r="D115" s="62">
        <f>927626050.41</f>
        <v>927626050.40999997</v>
      </c>
      <c r="E115" s="43" t="s">
        <v>45</v>
      </c>
      <c r="F115" s="43" t="s">
        <v>45</v>
      </c>
      <c r="G115" s="43" t="s">
        <v>45</v>
      </c>
      <c r="H115" s="43" t="s">
        <v>45</v>
      </c>
      <c r="I115" s="43" t="s">
        <v>45</v>
      </c>
      <c r="J115" s="63">
        <f t="shared" si="14"/>
        <v>28.462152369237529</v>
      </c>
      <c r="K115" s="58">
        <f t="shared" si="13"/>
        <v>360.70540695467179</v>
      </c>
    </row>
    <row r="116" spans="2:11" ht="22.5" x14ac:dyDescent="0.2">
      <c r="B116" s="98" t="s">
        <v>96</v>
      </c>
      <c r="C116" s="62">
        <f>199291684.04</f>
        <v>199291684.03999999</v>
      </c>
      <c r="D116" s="62">
        <f>107153976.24</f>
        <v>107153976.23999999</v>
      </c>
      <c r="E116" s="43" t="s">
        <v>45</v>
      </c>
      <c r="F116" s="43" t="s">
        <v>45</v>
      </c>
      <c r="G116" s="43" t="s">
        <v>45</v>
      </c>
      <c r="H116" s="43" t="s">
        <v>45</v>
      </c>
      <c r="I116" s="43" t="s">
        <v>45</v>
      </c>
      <c r="J116" s="63">
        <f t="shared" si="14"/>
        <v>3.2877826117157305</v>
      </c>
      <c r="K116" s="58">
        <f>IF(C116=0,"",100*D116/C116)</f>
        <v>53.767409692063737</v>
      </c>
    </row>
    <row r="117" spans="2:11" ht="7.5" customHeight="1" x14ac:dyDescent="0.2"/>
    <row r="118" spans="2:11" x14ac:dyDescent="0.2">
      <c r="B118" s="40" t="s">
        <v>16</v>
      </c>
      <c r="C118" s="66" t="s">
        <v>17</v>
      </c>
      <c r="D118" s="19" t="s">
        <v>1</v>
      </c>
    </row>
    <row r="119" spans="2:11" x14ac:dyDescent="0.2">
      <c r="B119" s="40"/>
      <c r="C119" s="117" t="s">
        <v>61</v>
      </c>
      <c r="D119" s="132"/>
    </row>
    <row r="120" spans="2:11" x14ac:dyDescent="0.2">
      <c r="B120" s="39">
        <v>1</v>
      </c>
      <c r="C120" s="42">
        <v>2</v>
      </c>
      <c r="D120" s="31">
        <v>3</v>
      </c>
    </row>
    <row r="121" spans="2:11" ht="37.5" customHeight="1" x14ac:dyDescent="0.2">
      <c r="B121" s="100" t="s">
        <v>97</v>
      </c>
      <c r="C121" s="47">
        <f>17536547004.71</f>
        <v>17536547004.709999</v>
      </c>
      <c r="D121" s="27">
        <f>0</f>
        <v>0</v>
      </c>
    </row>
    <row r="122" spans="2:11" ht="36" customHeight="1" x14ac:dyDescent="0.2">
      <c r="B122" s="101" t="s">
        <v>63</v>
      </c>
      <c r="C122" s="48">
        <f>312808905.74</f>
        <v>312808905.74000001</v>
      </c>
      <c r="D122" s="73">
        <f>0</f>
        <v>0</v>
      </c>
    </row>
    <row r="123" spans="2:11" ht="13.5" customHeight="1" x14ac:dyDescent="0.2">
      <c r="B123" s="101" t="s">
        <v>64</v>
      </c>
      <c r="C123" s="48">
        <f>7103432236.75</f>
        <v>7103432236.75</v>
      </c>
      <c r="D123" s="73">
        <f>0</f>
        <v>0</v>
      </c>
    </row>
    <row r="124" spans="2:11" ht="25.5" customHeight="1" x14ac:dyDescent="0.2">
      <c r="B124" s="101" t="s">
        <v>65</v>
      </c>
      <c r="C124" s="48">
        <f>0</f>
        <v>0</v>
      </c>
      <c r="D124" s="73">
        <f>0</f>
        <v>0</v>
      </c>
    </row>
    <row r="125" spans="2:11" ht="57.95" customHeight="1" x14ac:dyDescent="0.2">
      <c r="B125" s="101" t="s">
        <v>82</v>
      </c>
      <c r="C125" s="48">
        <f>2738377637.33</f>
        <v>2738377637.3299999</v>
      </c>
      <c r="D125" s="73">
        <f>0</f>
        <v>0</v>
      </c>
    </row>
    <row r="126" spans="2:11" ht="81.95" customHeight="1" x14ac:dyDescent="0.2">
      <c r="B126" s="101" t="s">
        <v>66</v>
      </c>
      <c r="C126" s="48">
        <f>4837691421.7</f>
        <v>4837691421.6999998</v>
      </c>
      <c r="D126" s="73">
        <f>0</f>
        <v>0</v>
      </c>
    </row>
    <row r="127" spans="2:11" ht="150.94999999999999" customHeight="1" x14ac:dyDescent="0.2">
      <c r="B127" s="96" t="s">
        <v>87</v>
      </c>
      <c r="C127" s="48">
        <f>2066041299.58</f>
        <v>2066041299.5799999</v>
      </c>
      <c r="D127" s="73">
        <f>0</f>
        <v>0</v>
      </c>
    </row>
    <row r="128" spans="2:11" ht="22.5" x14ac:dyDescent="0.2">
      <c r="B128" s="96" t="s">
        <v>81</v>
      </c>
      <c r="C128" s="48">
        <f>86002817.5</f>
        <v>86002817.5</v>
      </c>
      <c r="D128" s="73">
        <f>0</f>
        <v>0</v>
      </c>
    </row>
    <row r="129" spans="2:4" ht="22.5" x14ac:dyDescent="0.2">
      <c r="B129" s="96" t="s">
        <v>95</v>
      </c>
      <c r="C129" s="48">
        <f>392192686.11</f>
        <v>392192686.11000001</v>
      </c>
      <c r="D129" s="73">
        <f>0</f>
        <v>0</v>
      </c>
    </row>
    <row r="130" spans="2:4" ht="28.5" customHeight="1" x14ac:dyDescent="0.2"/>
    <row r="131" spans="2:4" x14ac:dyDescent="0.2">
      <c r="B131" s="64" t="s">
        <v>52</v>
      </c>
      <c r="C131" s="33">
        <f>2</f>
        <v>2</v>
      </c>
      <c r="D131" s="33" t="str">
        <f>IF(C131=1,"I Kwartał",IF(C131=2,"II Kwartały",IF(C131=3,"III Kwartały",IF(C131=4,"IV Kwartały",IF(C131="M1","Styczeń",IF(C131="M11","Listopad",IF(C131="M12","Grudzień","-")))))))</f>
        <v>II Kwartały</v>
      </c>
    </row>
    <row r="132" spans="2:4" x14ac:dyDescent="0.2">
      <c r="B132" s="64" t="s">
        <v>53</v>
      </c>
      <c r="C132" s="91">
        <f>2025</f>
        <v>2025</v>
      </c>
    </row>
    <row r="133" spans="2:4" x14ac:dyDescent="0.2">
      <c r="B133" s="64" t="s">
        <v>54</v>
      </c>
      <c r="C133" s="113" t="str">
        <f>"Aug 15 2025 12:00AM"</f>
        <v>Aug 15 2025 12:00AM</v>
      </c>
      <c r="D133" s="114"/>
    </row>
    <row r="134" spans="2:4" hidden="1" x14ac:dyDescent="0.2">
      <c r="B134" s="1" t="s">
        <v>93</v>
      </c>
      <c r="C134" s="1" t="str">
        <f>""</f>
        <v/>
      </c>
    </row>
  </sheetData>
  <mergeCells count="26">
    <mergeCell ref="B3:B4"/>
    <mergeCell ref="C119:D119"/>
    <mergeCell ref="B61:B64"/>
    <mergeCell ref="C98:D98"/>
    <mergeCell ref="J4:L4"/>
    <mergeCell ref="I61:I63"/>
    <mergeCell ref="J64:K64"/>
    <mergeCell ref="C4:I4"/>
    <mergeCell ref="J98:K98"/>
    <mergeCell ref="J61:J63"/>
    <mergeCell ref="B80:B81"/>
    <mergeCell ref="C80:D80"/>
    <mergeCell ref="E80:F80"/>
    <mergeCell ref="B85:B86"/>
    <mergeCell ref="C85:D85"/>
    <mergeCell ref="E85:F85"/>
    <mergeCell ref="K61:K63"/>
    <mergeCell ref="C133:D133"/>
    <mergeCell ref="D61:D63"/>
    <mergeCell ref="E61:E63"/>
    <mergeCell ref="F62:F63"/>
    <mergeCell ref="F61:H61"/>
    <mergeCell ref="G62:H62"/>
    <mergeCell ref="E97:I99"/>
    <mergeCell ref="C61:C63"/>
    <mergeCell ref="C64:I64"/>
  </mergeCells>
  <phoneticPr fontId="0" type="noConversion"/>
  <printOptions horizontalCentered="1"/>
  <pageMargins left="0" right="0" top="0" bottom="0" header="0" footer="0"/>
  <pageSetup paperSize="9" scale="95" orientation="landscape" useFirstPageNumber="1" r:id="rId1"/>
  <headerFooter alignWithMargins="0">
    <oddFooter>&amp;RStrona &amp;P z &amp;N</oddFooter>
  </headerFooter>
  <rowBreaks count="5" manualBreakCount="5">
    <brk id="25" max="16383" man="1"/>
    <brk id="53" min="1" max="11" man="1"/>
    <brk id="58" max="16383" man="1"/>
    <brk id="94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2025-02-07T08:52:30Z</cp:lastPrinted>
  <dcterms:created xsi:type="dcterms:W3CDTF">2001-05-17T08:58:03Z</dcterms:created>
  <dcterms:modified xsi:type="dcterms:W3CDTF">2025-08-21T11:43:57Z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