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kkucharska\Desktop\"/>
    </mc:Choice>
  </mc:AlternateContent>
  <xr:revisionPtr revIDLastSave="0" documentId="8_{C8CCA354-4371-44A5-838E-92F54D575D50}" xr6:coauthVersionLast="36" xr6:coauthVersionMax="36" xr10:uidLastSave="{00000000-0000-0000-0000-000000000000}"/>
  <bookViews>
    <workbookView xWindow="30615" yWindow="-105" windowWidth="30930" windowHeight="16770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podst'!$A$2:$BS$39</definedName>
    <definedName name="_xlnm._FilterDatabase" localSheetId="4" hidden="1">'gm rez'!$A$2:$AZ$17</definedName>
    <definedName name="_xlnm._FilterDatabase" localSheetId="1" hidden="1">'pow podst'!$A$1:$AC$17</definedName>
    <definedName name="_xlnm.Print_Area" localSheetId="2">'gm podst'!$A$1:$Z$44</definedName>
    <definedName name="_xlnm.Print_Area" localSheetId="4">'gm rez'!$A$1:$Z$21</definedName>
    <definedName name="_xlnm.Print_Area" localSheetId="1">'pow podst'!$A$1:$Y$22</definedName>
    <definedName name="_xlnm.Print_Area" localSheetId="3">'pow rez'!$A$1:$Y$11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5" i="5" l="1"/>
  <c r="L21" i="5" l="1"/>
  <c r="L20" i="5" l="1"/>
  <c r="L23" i="5" l="1"/>
  <c r="M35" i="5" l="1"/>
  <c r="AD35" i="5" s="1"/>
  <c r="U35" i="5" l="1"/>
  <c r="AA35" i="5" s="1"/>
  <c r="AB35" i="5"/>
  <c r="AC35" i="5" s="1"/>
  <c r="U33" i="5"/>
  <c r="L33" i="5"/>
  <c r="M33" i="5" s="1"/>
  <c r="AD33" i="5" s="1"/>
  <c r="L34" i="5"/>
  <c r="U34" i="5" s="1"/>
  <c r="AA34" i="5" s="1"/>
  <c r="AB32" i="5"/>
  <c r="AC32" i="5" s="1"/>
  <c r="AA33" i="5" l="1"/>
  <c r="AB34" i="5"/>
  <c r="AC34" i="5" s="1"/>
  <c r="AB33" i="5"/>
  <c r="AC33" i="5" s="1"/>
  <c r="M32" i="5"/>
  <c r="AD32" i="5" s="1"/>
  <c r="U32" i="5"/>
  <c r="AA32" i="5" s="1"/>
  <c r="M34" i="5"/>
  <c r="AD34" i="5" s="1"/>
  <c r="AB4" i="6" l="1"/>
  <c r="AC4" i="6" s="1"/>
  <c r="AD4" i="6"/>
  <c r="AB5" i="6"/>
  <c r="AC5" i="6" s="1"/>
  <c r="AD5" i="6"/>
  <c r="AB6" i="6"/>
  <c r="AC6" i="6" s="1"/>
  <c r="AD6" i="6"/>
  <c r="AB7" i="6"/>
  <c r="AC7" i="6" s="1"/>
  <c r="AD7" i="6"/>
  <c r="AB8" i="6"/>
  <c r="AC8" i="6" s="1"/>
  <c r="AD8" i="6"/>
  <c r="AB9" i="6"/>
  <c r="AC9" i="6" s="1"/>
  <c r="AD9" i="6"/>
  <c r="AB10" i="6"/>
  <c r="AC10" i="6" s="1"/>
  <c r="AD10" i="6"/>
  <c r="AB11" i="6"/>
  <c r="AC11" i="6" s="1"/>
  <c r="AD11" i="6"/>
  <c r="AB13" i="6"/>
  <c r="AC13" i="6" s="1"/>
  <c r="AD13" i="6"/>
  <c r="AB14" i="6"/>
  <c r="AC14" i="6" s="1"/>
  <c r="AD14" i="6"/>
  <c r="AB12" i="6"/>
  <c r="AC12" i="6" s="1"/>
  <c r="AD12" i="6"/>
  <c r="AD3" i="6"/>
  <c r="AB3" i="6"/>
  <c r="AC3" i="6" s="1"/>
  <c r="AA3" i="6"/>
  <c r="AA5" i="5" l="1"/>
  <c r="AB5" i="5"/>
  <c r="AC5" i="5" s="1"/>
  <c r="I14" i="7" l="1"/>
  <c r="J16" i="3"/>
  <c r="J15" i="3"/>
  <c r="O5" i="4" l="1"/>
  <c r="P5" i="4"/>
  <c r="Q5" i="4"/>
  <c r="R5" i="4"/>
  <c r="S5" i="4"/>
  <c r="T5" i="4"/>
  <c r="U5" i="4"/>
  <c r="V5" i="4"/>
  <c r="W5" i="4"/>
  <c r="X5" i="4"/>
  <c r="Y5" i="4"/>
  <c r="O6" i="4"/>
  <c r="P6" i="4"/>
  <c r="Q6" i="4"/>
  <c r="R6" i="4"/>
  <c r="S6" i="4"/>
  <c r="T6" i="4"/>
  <c r="U6" i="4"/>
  <c r="V6" i="4"/>
  <c r="W6" i="4"/>
  <c r="X6" i="4"/>
  <c r="Y6" i="4"/>
  <c r="O7" i="4"/>
  <c r="P7" i="4"/>
  <c r="Q7" i="4"/>
  <c r="R7" i="4"/>
  <c r="S7" i="4"/>
  <c r="T7" i="4"/>
  <c r="U7" i="4"/>
  <c r="V7" i="4"/>
  <c r="W7" i="4"/>
  <c r="X7" i="4"/>
  <c r="Y7" i="4"/>
  <c r="N7" i="4"/>
  <c r="N6" i="4"/>
  <c r="N5" i="4"/>
  <c r="L7" i="4"/>
  <c r="L6" i="4"/>
  <c r="L5" i="4"/>
  <c r="K7" i="4"/>
  <c r="K6" i="4"/>
  <c r="K5" i="4"/>
  <c r="J7" i="4"/>
  <c r="J6" i="4"/>
  <c r="J5" i="4"/>
  <c r="H7" i="4"/>
  <c r="H6" i="4"/>
  <c r="H5" i="4"/>
  <c r="Q24" i="7"/>
  <c r="Q26" i="7"/>
  <c r="Q25" i="7"/>
  <c r="P26" i="7"/>
  <c r="P25" i="7"/>
  <c r="P24" i="7"/>
  <c r="O26" i="7"/>
  <c r="O25" i="7"/>
  <c r="O24" i="7"/>
  <c r="N26" i="7"/>
  <c r="N25" i="7"/>
  <c r="N24" i="7"/>
  <c r="M26" i="7"/>
  <c r="M25" i="7"/>
  <c r="M24" i="7"/>
  <c r="L26" i="7"/>
  <c r="L25" i="7"/>
  <c r="L24" i="7"/>
  <c r="K26" i="7"/>
  <c r="K25" i="7"/>
  <c r="K24" i="7"/>
  <c r="J26" i="7"/>
  <c r="J25" i="7"/>
  <c r="J24" i="7"/>
  <c r="I26" i="7"/>
  <c r="I25" i="7"/>
  <c r="I24" i="7"/>
  <c r="H26" i="7"/>
  <c r="H25" i="7"/>
  <c r="H24" i="7"/>
  <c r="G26" i="7"/>
  <c r="G25" i="7"/>
  <c r="G24" i="7"/>
  <c r="F26" i="7"/>
  <c r="F25" i="7"/>
  <c r="F24" i="7"/>
  <c r="E26" i="7" l="1"/>
  <c r="E25" i="7"/>
  <c r="E24" i="7"/>
  <c r="D26" i="7"/>
  <c r="D25" i="7"/>
  <c r="D24" i="7"/>
  <c r="C26" i="7"/>
  <c r="C25" i="7"/>
  <c r="C24" i="7"/>
  <c r="B26" i="7"/>
  <c r="B25" i="7"/>
  <c r="B24" i="7"/>
  <c r="L31" i="5" l="1"/>
  <c r="L27" i="5"/>
  <c r="L28" i="5"/>
  <c r="L29" i="5"/>
  <c r="L30" i="5"/>
  <c r="L22" i="5"/>
  <c r="L24" i="5"/>
  <c r="L25" i="5"/>
  <c r="L26" i="5"/>
  <c r="K12" i="3"/>
  <c r="K13" i="3"/>
  <c r="Y17" i="3"/>
  <c r="Y16" i="3"/>
  <c r="Y15" i="3"/>
  <c r="Y14" i="3"/>
  <c r="X17" i="3"/>
  <c r="X16" i="3"/>
  <c r="X15" i="3"/>
  <c r="X14" i="3"/>
  <c r="W17" i="3"/>
  <c r="W16" i="3"/>
  <c r="W15" i="3"/>
  <c r="W14" i="3"/>
  <c r="V17" i="3"/>
  <c r="V16" i="3"/>
  <c r="V15" i="3"/>
  <c r="V14" i="3"/>
  <c r="U16" i="3"/>
  <c r="U15" i="3"/>
  <c r="T15" i="3"/>
  <c r="S17" i="3"/>
  <c r="S16" i="3"/>
  <c r="S15" i="3"/>
  <c r="S14" i="3"/>
  <c r="R17" i="3"/>
  <c r="R16" i="3"/>
  <c r="R15" i="3"/>
  <c r="R14" i="3"/>
  <c r="Q17" i="3"/>
  <c r="Q16" i="3"/>
  <c r="Q15" i="3"/>
  <c r="Q14" i="3"/>
  <c r="P17" i="3"/>
  <c r="P16" i="3"/>
  <c r="P15" i="3"/>
  <c r="P14" i="3"/>
  <c r="O17" i="3"/>
  <c r="O16" i="3"/>
  <c r="O15" i="3"/>
  <c r="O14" i="3"/>
  <c r="N17" i="3"/>
  <c r="N15" i="3"/>
  <c r="N14" i="3"/>
  <c r="N16" i="3" s="1"/>
  <c r="J17" i="3"/>
  <c r="J14" i="3"/>
  <c r="H17" i="3"/>
  <c r="H16" i="3"/>
  <c r="H15" i="3"/>
  <c r="H14" i="3"/>
  <c r="AA12" i="3" l="1"/>
  <c r="AB12" i="3" s="1"/>
  <c r="AA13" i="3"/>
  <c r="AB13" i="3" s="1"/>
  <c r="AB21" i="5"/>
  <c r="AC21" i="5" s="1"/>
  <c r="AB29" i="5"/>
  <c r="AC29" i="5" s="1"/>
  <c r="AB28" i="5"/>
  <c r="AC28" i="5" s="1"/>
  <c r="AB30" i="5"/>
  <c r="AC30" i="5" s="1"/>
  <c r="AB31" i="5"/>
  <c r="AC31" i="5" s="1"/>
  <c r="AB20" i="5"/>
  <c r="AC20" i="5" s="1"/>
  <c r="AB25" i="5"/>
  <c r="AC25" i="5" s="1"/>
  <c r="AB24" i="5"/>
  <c r="AC24" i="5" s="1"/>
  <c r="AB23" i="5"/>
  <c r="AC23" i="5" s="1"/>
  <c r="AB22" i="5"/>
  <c r="AC22" i="5" s="1"/>
  <c r="AB26" i="5"/>
  <c r="AC26" i="5" s="1"/>
  <c r="AB27" i="5"/>
  <c r="AC27" i="5" s="1"/>
  <c r="U22" i="5"/>
  <c r="AA22" i="5" s="1"/>
  <c r="U26" i="5"/>
  <c r="AA26" i="5" s="1"/>
  <c r="U30" i="5"/>
  <c r="AA30" i="5" s="1"/>
  <c r="M29" i="5"/>
  <c r="AD29" i="5" s="1"/>
  <c r="U24" i="5"/>
  <c r="AA24" i="5" s="1"/>
  <c r="M28" i="5"/>
  <c r="AD28" i="5" s="1"/>
  <c r="M27" i="5"/>
  <c r="AD27" i="5" s="1"/>
  <c r="L12" i="3"/>
  <c r="AC12" i="3" s="1"/>
  <c r="T13" i="3"/>
  <c r="Z13" i="3" s="1"/>
  <c r="T12" i="3"/>
  <c r="Z12" i="3" s="1"/>
  <c r="M31" i="5"/>
  <c r="AD31" i="5" s="1"/>
  <c r="U20" i="5"/>
  <c r="AA20" i="5" s="1"/>
  <c r="U31" i="5"/>
  <c r="AA31" i="5" s="1"/>
  <c r="M30" i="5"/>
  <c r="AD30" i="5" s="1"/>
  <c r="U29" i="5"/>
  <c r="AA29" i="5" s="1"/>
  <c r="AA27" i="5"/>
  <c r="U28" i="5"/>
  <c r="AA28" i="5" s="1"/>
  <c r="U23" i="5"/>
  <c r="AA23" i="5" s="1"/>
  <c r="U25" i="5"/>
  <c r="AA25" i="5" s="1"/>
  <c r="U21" i="5"/>
  <c r="AA21" i="5" s="1"/>
  <c r="M23" i="5"/>
  <c r="AD23" i="5" s="1"/>
  <c r="M26" i="5"/>
  <c r="AD26" i="5" s="1"/>
  <c r="M22" i="5"/>
  <c r="AD22" i="5" s="1"/>
  <c r="M25" i="5"/>
  <c r="AD25" i="5" s="1"/>
  <c r="M21" i="5"/>
  <c r="AD21" i="5" s="1"/>
  <c r="M24" i="5"/>
  <c r="AD24" i="5" s="1"/>
  <c r="AD20" i="5"/>
  <c r="L13" i="3" l="1"/>
  <c r="AC13" i="3" s="1"/>
  <c r="K11" i="3"/>
  <c r="AA11" i="3" l="1"/>
  <c r="AB11" i="3" s="1"/>
  <c r="L11" i="3"/>
  <c r="AC11" i="3" s="1"/>
  <c r="T11" i="3"/>
  <c r="Z11" i="3" s="1"/>
  <c r="Q15" i="7"/>
  <c r="P15" i="7"/>
  <c r="O15" i="7"/>
  <c r="K15" i="7"/>
  <c r="J15" i="7"/>
  <c r="I15" i="7"/>
  <c r="H15" i="7"/>
  <c r="Q14" i="7"/>
  <c r="P14" i="7"/>
  <c r="O14" i="7"/>
  <c r="N14" i="7"/>
  <c r="N15" i="7"/>
  <c r="M14" i="7"/>
  <c r="K14" i="7"/>
  <c r="J14" i="7"/>
  <c r="H14" i="7"/>
  <c r="Q13" i="7"/>
  <c r="P13" i="7"/>
  <c r="O13" i="7"/>
  <c r="N13" i="7"/>
  <c r="M13" i="7"/>
  <c r="L13" i="7"/>
  <c r="K13" i="7"/>
  <c r="J13" i="7"/>
  <c r="I13" i="7"/>
  <c r="H13" i="7"/>
  <c r="Q12" i="7"/>
  <c r="P12" i="7"/>
  <c r="O12" i="7"/>
  <c r="N12" i="7"/>
  <c r="K12" i="7"/>
  <c r="H12" i="7"/>
  <c r="I12" i="7"/>
  <c r="J12" i="7"/>
  <c r="G15" i="7"/>
  <c r="G14" i="7"/>
  <c r="G12" i="7"/>
  <c r="G13" i="7"/>
  <c r="F15" i="7"/>
  <c r="F14" i="7"/>
  <c r="F13" i="7"/>
  <c r="F12" i="7"/>
  <c r="C15" i="7"/>
  <c r="C14" i="7"/>
  <c r="C13" i="7"/>
  <c r="C12" i="7"/>
  <c r="B15" i="7"/>
  <c r="B14" i="7"/>
  <c r="B13" i="7"/>
  <c r="AC3" i="4"/>
  <c r="Z3" i="4"/>
  <c r="AA3" i="4"/>
  <c r="AB3" i="4" s="1"/>
  <c r="AA4" i="6"/>
  <c r="AA5" i="6"/>
  <c r="AA6" i="6"/>
  <c r="AA7" i="6"/>
  <c r="AA8" i="6"/>
  <c r="AA9" i="6"/>
  <c r="AA10" i="6"/>
  <c r="AA11" i="6"/>
  <c r="AA13" i="6"/>
  <c r="AA14" i="6"/>
  <c r="AA12" i="6"/>
  <c r="K10" i="3"/>
  <c r="K9" i="3"/>
  <c r="L12" i="5"/>
  <c r="U12" i="5" s="1"/>
  <c r="L13" i="5"/>
  <c r="L14" i="5"/>
  <c r="L15" i="5"/>
  <c r="L16" i="5"/>
  <c r="L17" i="5"/>
  <c r="L11" i="5"/>
  <c r="L10" i="5"/>
  <c r="L9" i="5"/>
  <c r="L8" i="5"/>
  <c r="L7" i="5"/>
  <c r="M5" i="5"/>
  <c r="AD5" i="5" s="1"/>
  <c r="L3" i="5"/>
  <c r="K3" i="3"/>
  <c r="AA9" i="3" l="1"/>
  <c r="AB9" i="3" s="1"/>
  <c r="AA10" i="3"/>
  <c r="AB10" i="3" s="1"/>
  <c r="Z3" i="3"/>
  <c r="AA3" i="3"/>
  <c r="AB3" i="3" s="1"/>
  <c r="AA8" i="3"/>
  <c r="AB8" i="3" s="1"/>
  <c r="AB6" i="5"/>
  <c r="AC6" i="5" s="1"/>
  <c r="AA6" i="5"/>
  <c r="AB10" i="5"/>
  <c r="AC10" i="5" s="1"/>
  <c r="AA10" i="5"/>
  <c r="AB3" i="5"/>
  <c r="AC3" i="5" s="1"/>
  <c r="AA3" i="5"/>
  <c r="AB7" i="5"/>
  <c r="AC7" i="5" s="1"/>
  <c r="AA7" i="5"/>
  <c r="AB11" i="5"/>
  <c r="AC11" i="5" s="1"/>
  <c r="AA11" i="5"/>
  <c r="AB4" i="5"/>
  <c r="AC4" i="5" s="1"/>
  <c r="AA4" i="5"/>
  <c r="AB8" i="5"/>
  <c r="AC8" i="5" s="1"/>
  <c r="AA8" i="5"/>
  <c r="AB19" i="5"/>
  <c r="AC19" i="5" s="1"/>
  <c r="AD19" i="5"/>
  <c r="AB9" i="5"/>
  <c r="AC9" i="5" s="1"/>
  <c r="AA9" i="5"/>
  <c r="AB12" i="5"/>
  <c r="AC12" i="5" s="1"/>
  <c r="AA12" i="5"/>
  <c r="AA13" i="5"/>
  <c r="AB13" i="5"/>
  <c r="AC13" i="5" s="1"/>
  <c r="AA16" i="5"/>
  <c r="AB16" i="5"/>
  <c r="AC16" i="5" s="1"/>
  <c r="AB14" i="5"/>
  <c r="AC14" i="5" s="1"/>
  <c r="AB15" i="5"/>
  <c r="AC15" i="5" s="1"/>
  <c r="AB17" i="5"/>
  <c r="AC17" i="5" s="1"/>
  <c r="AB18" i="5"/>
  <c r="AC18" i="5" s="1"/>
  <c r="M4" i="5"/>
  <c r="AD4" i="5" s="1"/>
  <c r="M7" i="5"/>
  <c r="AD7" i="5" s="1"/>
  <c r="M8" i="5"/>
  <c r="AD8" i="5" s="1"/>
  <c r="M15" i="5"/>
  <c r="AD15" i="5" s="1"/>
  <c r="M9" i="5"/>
  <c r="AD9" i="5" s="1"/>
  <c r="M14" i="5"/>
  <c r="AD14" i="5" s="1"/>
  <c r="M13" i="5"/>
  <c r="AD13" i="5" s="1"/>
  <c r="M11" i="5"/>
  <c r="AD11" i="5" s="1"/>
  <c r="M12" i="5"/>
  <c r="AD12" i="5" s="1"/>
  <c r="AC8" i="3"/>
  <c r="L9" i="3"/>
  <c r="AC9" i="3" s="1"/>
  <c r="L10" i="3"/>
  <c r="AC10" i="3" s="1"/>
  <c r="E13" i="7"/>
  <c r="K15" i="3"/>
  <c r="M18" i="5"/>
  <c r="AD18" i="5" s="1"/>
  <c r="U18" i="5"/>
  <c r="AA18" i="5" s="1"/>
  <c r="M17" i="5"/>
  <c r="AD17" i="5" s="1"/>
  <c r="U17" i="5"/>
  <c r="AA17" i="5" s="1"/>
  <c r="M16" i="5"/>
  <c r="AD16" i="5" s="1"/>
  <c r="AA19" i="5"/>
  <c r="Z8" i="3"/>
  <c r="T9" i="3"/>
  <c r="Z9" i="3" s="1"/>
  <c r="T10" i="3"/>
  <c r="Z10" i="3" s="1"/>
  <c r="U15" i="5"/>
  <c r="AA15" i="5" s="1"/>
  <c r="U14" i="5"/>
  <c r="AA14" i="5" s="1"/>
  <c r="M10" i="5"/>
  <c r="AD10" i="5" s="1"/>
  <c r="M6" i="5"/>
  <c r="AD6" i="5" s="1"/>
  <c r="M3" i="5"/>
  <c r="AD3" i="5" s="1"/>
  <c r="L3" i="3"/>
  <c r="AC3" i="3" s="1"/>
  <c r="L15" i="3" l="1"/>
  <c r="D13" i="7"/>
  <c r="K5" i="3"/>
  <c r="K6" i="3"/>
  <c r="K7" i="3"/>
  <c r="U7" i="3" s="1"/>
  <c r="AA6" i="3" l="1"/>
  <c r="AB6" i="3" s="1"/>
  <c r="AA5" i="3"/>
  <c r="AB5" i="3" s="1"/>
  <c r="AA7" i="3"/>
  <c r="AB7" i="3" s="1"/>
  <c r="Z7" i="3"/>
  <c r="T6" i="3"/>
  <c r="Z6" i="3" s="1"/>
  <c r="L7" i="3"/>
  <c r="AC7" i="3" s="1"/>
  <c r="K16" i="3"/>
  <c r="T5" i="3"/>
  <c r="Z5" i="3" s="1"/>
  <c r="E14" i="7"/>
  <c r="L5" i="3"/>
  <c r="AC5" i="3" s="1"/>
  <c r="L6" i="3"/>
  <c r="AC6" i="3" s="1"/>
  <c r="B19" i="7"/>
  <c r="B18" i="7"/>
  <c r="B17" i="7"/>
  <c r="B27" i="7"/>
  <c r="K4" i="3"/>
  <c r="U4" i="3" s="1"/>
  <c r="U17" i="3" l="1"/>
  <c r="U14" i="3"/>
  <c r="M12" i="7"/>
  <c r="M15" i="7"/>
  <c r="Z4" i="3"/>
  <c r="AA4" i="3"/>
  <c r="AB4" i="3" s="1"/>
  <c r="T17" i="3"/>
  <c r="L15" i="7"/>
  <c r="K17" i="3"/>
  <c r="K14" i="3"/>
  <c r="D14" i="7"/>
  <c r="L16" i="3"/>
  <c r="T16" i="3"/>
  <c r="T14" i="3"/>
  <c r="L12" i="7"/>
  <c r="L14" i="7"/>
  <c r="E12" i="7"/>
  <c r="E15" i="7"/>
  <c r="B12" i="7"/>
  <c r="P16" i="7"/>
  <c r="P20" i="7" s="1"/>
  <c r="Q16" i="7"/>
  <c r="Q20" i="7" s="1"/>
  <c r="P17" i="7"/>
  <c r="P21" i="7" s="1"/>
  <c r="P34" i="7" s="1"/>
  <c r="Q17" i="7"/>
  <c r="P18" i="7"/>
  <c r="P22" i="7" s="1"/>
  <c r="Q18" i="7"/>
  <c r="Q22" i="7" s="1"/>
  <c r="P19" i="7"/>
  <c r="Q19" i="7"/>
  <c r="P27" i="7"/>
  <c r="Q27" i="7"/>
  <c r="P28" i="7"/>
  <c r="P31" i="7" s="1"/>
  <c r="Q28" i="7"/>
  <c r="P29" i="7"/>
  <c r="Q29" i="7"/>
  <c r="Z4" i="4"/>
  <c r="Z17" i="6"/>
  <c r="Y17" i="6"/>
  <c r="Z16" i="6"/>
  <c r="Y16" i="6"/>
  <c r="Z15" i="6"/>
  <c r="Y15" i="6"/>
  <c r="Z39" i="5"/>
  <c r="Y39" i="5"/>
  <c r="Z38" i="5"/>
  <c r="Y38" i="5"/>
  <c r="Z37" i="5"/>
  <c r="Y37" i="5"/>
  <c r="Z36" i="5"/>
  <c r="Y36" i="5"/>
  <c r="Q21" i="7" l="1"/>
  <c r="Q34" i="7" s="1"/>
  <c r="Q31" i="7"/>
  <c r="Q35" i="7" s="1"/>
  <c r="Q30" i="7"/>
  <c r="Q41" i="7" s="1"/>
  <c r="P30" i="7"/>
  <c r="P33" i="7" s="1"/>
  <c r="P42" i="7"/>
  <c r="Q37" i="7"/>
  <c r="P37" i="7"/>
  <c r="P35" i="7"/>
  <c r="Q23" i="7"/>
  <c r="Q40" i="7" s="1"/>
  <c r="P38" i="7"/>
  <c r="Q39" i="7"/>
  <c r="P39" i="7"/>
  <c r="Q32" i="7"/>
  <c r="Q43" i="7" s="1"/>
  <c r="P32" i="7"/>
  <c r="P43" i="7" s="1"/>
  <c r="P23" i="7"/>
  <c r="Q42" i="7" l="1"/>
  <c r="Q33" i="7"/>
  <c r="Q44" i="7" s="1"/>
  <c r="Q38" i="7"/>
  <c r="P41" i="7"/>
  <c r="P36" i="7"/>
  <c r="Q36" i="7"/>
  <c r="P44" i="7"/>
  <c r="P40" i="7"/>
  <c r="B29" i="7"/>
  <c r="B28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C29" i="7"/>
  <c r="C19" i="7"/>
  <c r="C18" i="7"/>
  <c r="C17" i="7"/>
  <c r="S15" i="7" l="1"/>
  <c r="S13" i="7"/>
  <c r="R29" i="7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R13" i="7"/>
  <c r="R14" i="7" l="1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X39" i="5"/>
  <c r="W39" i="5"/>
  <c r="V39" i="5"/>
  <c r="U39" i="5"/>
  <c r="T39" i="5"/>
  <c r="S39" i="5"/>
  <c r="R39" i="5"/>
  <c r="Q39" i="5"/>
  <c r="P39" i="5"/>
  <c r="O39" i="5"/>
  <c r="X38" i="5"/>
  <c r="W38" i="5"/>
  <c r="V38" i="5"/>
  <c r="U38" i="5"/>
  <c r="T38" i="5"/>
  <c r="S38" i="5"/>
  <c r="R38" i="5"/>
  <c r="Q38" i="5"/>
  <c r="P38" i="5"/>
  <c r="O38" i="5"/>
  <c r="X37" i="5"/>
  <c r="W37" i="5"/>
  <c r="V37" i="5"/>
  <c r="U37" i="5"/>
  <c r="T37" i="5"/>
  <c r="S37" i="5"/>
  <c r="R37" i="5"/>
  <c r="Q37" i="5"/>
  <c r="P37" i="5"/>
  <c r="O37" i="5"/>
  <c r="M39" i="5"/>
  <c r="L39" i="5"/>
  <c r="K39" i="5"/>
  <c r="M38" i="5"/>
  <c r="L38" i="5"/>
  <c r="K38" i="5"/>
  <c r="M37" i="5"/>
  <c r="L37" i="5"/>
  <c r="K37" i="5"/>
  <c r="I38" i="5"/>
  <c r="I37" i="5"/>
  <c r="X16" i="6"/>
  <c r="W16" i="6"/>
  <c r="V16" i="6"/>
  <c r="U16" i="6"/>
  <c r="T16" i="6"/>
  <c r="S16" i="6"/>
  <c r="R16" i="6"/>
  <c r="Q16" i="6"/>
  <c r="P16" i="6"/>
  <c r="O16" i="6"/>
  <c r="M16" i="6"/>
  <c r="L16" i="6"/>
  <c r="K16" i="6"/>
  <c r="I16" i="6"/>
  <c r="Z6" i="4" l="1"/>
  <c r="I34" i="7"/>
  <c r="I38" i="7"/>
  <c r="M34" i="7"/>
  <c r="M38" i="7"/>
  <c r="B34" i="7"/>
  <c r="B38" i="7"/>
  <c r="F34" i="7"/>
  <c r="F38" i="7"/>
  <c r="J34" i="7"/>
  <c r="J38" i="7"/>
  <c r="N34" i="7"/>
  <c r="N38" i="7"/>
  <c r="H34" i="7"/>
  <c r="H38" i="7"/>
  <c r="L34" i="7"/>
  <c r="L38" i="7"/>
  <c r="G34" i="7"/>
  <c r="G38" i="7"/>
  <c r="K34" i="7"/>
  <c r="K38" i="7"/>
  <c r="O34" i="7"/>
  <c r="O38" i="7"/>
  <c r="D34" i="7"/>
  <c r="D38" i="7"/>
  <c r="S21" i="7"/>
  <c r="E38" i="7"/>
  <c r="R32" i="7"/>
  <c r="R31" i="7"/>
  <c r="AA6" i="4"/>
  <c r="S32" i="7"/>
  <c r="S31" i="7"/>
  <c r="C34" i="7"/>
  <c r="R21" i="7"/>
  <c r="E34" i="7"/>
  <c r="R22" i="7"/>
  <c r="E35" i="7"/>
  <c r="M35" i="7"/>
  <c r="H35" i="7"/>
  <c r="D35" i="7"/>
  <c r="L35" i="7"/>
  <c r="C35" i="7"/>
  <c r="G35" i="7"/>
  <c r="K35" i="7"/>
  <c r="O35" i="7"/>
  <c r="B35" i="7"/>
  <c r="F35" i="7"/>
  <c r="J35" i="7"/>
  <c r="N35" i="7"/>
  <c r="AC6" i="4"/>
  <c r="S34" i="7" l="1"/>
  <c r="R35" i="7"/>
  <c r="R34" i="7"/>
  <c r="L4" i="3"/>
  <c r="AC4" i="3" s="1"/>
  <c r="O23" i="7"/>
  <c r="N23" i="7"/>
  <c r="M23" i="7"/>
  <c r="L23" i="7"/>
  <c r="K23" i="7"/>
  <c r="J23" i="7"/>
  <c r="I23" i="7"/>
  <c r="H23" i="7"/>
  <c r="G23" i="7"/>
  <c r="F23" i="7"/>
  <c r="E23" i="7"/>
  <c r="E40" i="7" s="1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X17" i="6"/>
  <c r="W17" i="6"/>
  <c r="V17" i="6"/>
  <c r="U17" i="6"/>
  <c r="T17" i="6"/>
  <c r="S17" i="6"/>
  <c r="R17" i="6"/>
  <c r="Q17" i="6"/>
  <c r="P17" i="6"/>
  <c r="O17" i="6"/>
  <c r="M17" i="6"/>
  <c r="L17" i="6"/>
  <c r="K17" i="6"/>
  <c r="I17" i="6"/>
  <c r="X15" i="6"/>
  <c r="W15" i="6"/>
  <c r="V15" i="6"/>
  <c r="U15" i="6"/>
  <c r="T15" i="6"/>
  <c r="S15" i="6"/>
  <c r="R15" i="6"/>
  <c r="Q15" i="6"/>
  <c r="P15" i="6"/>
  <c r="O15" i="6"/>
  <c r="M15" i="6"/>
  <c r="L15" i="6"/>
  <c r="K15" i="6"/>
  <c r="I15" i="6"/>
  <c r="I39" i="5"/>
  <c r="L17" i="3" l="1"/>
  <c r="L14" i="3"/>
  <c r="D15" i="7"/>
  <c r="D12" i="7"/>
  <c r="Z7" i="4"/>
  <c r="L36" i="7"/>
  <c r="L40" i="7"/>
  <c r="I36" i="7"/>
  <c r="I40" i="7"/>
  <c r="B36" i="7"/>
  <c r="B40" i="7"/>
  <c r="H36" i="7"/>
  <c r="H40" i="7"/>
  <c r="M36" i="7"/>
  <c r="M40" i="7"/>
  <c r="F36" i="7"/>
  <c r="F40" i="7"/>
  <c r="J36" i="7"/>
  <c r="J40" i="7"/>
  <c r="N36" i="7"/>
  <c r="N40" i="7"/>
  <c r="G36" i="7"/>
  <c r="G40" i="7"/>
  <c r="K36" i="7"/>
  <c r="K40" i="7"/>
  <c r="O36" i="7"/>
  <c r="O40" i="7"/>
  <c r="R27" i="7"/>
  <c r="R24" i="7"/>
  <c r="S24" i="7"/>
  <c r="C36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B16" i="7"/>
  <c r="O16" i="7"/>
  <c r="N16" i="7"/>
  <c r="M16" i="7"/>
  <c r="L16" i="7"/>
  <c r="L20" i="7" s="1"/>
  <c r="K16" i="7"/>
  <c r="J16" i="7"/>
  <c r="I16" i="7"/>
  <c r="H16" i="7"/>
  <c r="AA4" i="4"/>
  <c r="AB4" i="4" s="1"/>
  <c r="AC4" i="4"/>
  <c r="R15" i="7" l="1"/>
  <c r="D23" i="7"/>
  <c r="Z5" i="4"/>
  <c r="K20" i="7"/>
  <c r="K33" i="7" s="1"/>
  <c r="O20" i="7"/>
  <c r="O33" i="7" s="1"/>
  <c r="H20" i="7"/>
  <c r="H33" i="7" s="1"/>
  <c r="S36" i="7"/>
  <c r="J20" i="7"/>
  <c r="J37" i="7" s="1"/>
  <c r="N20" i="7"/>
  <c r="AA5" i="4"/>
  <c r="S30" i="7"/>
  <c r="R30" i="7"/>
  <c r="M20" i="7"/>
  <c r="I20" i="7"/>
  <c r="B20" i="7"/>
  <c r="B37" i="7" s="1"/>
  <c r="L37" i="7"/>
  <c r="AC5" i="4"/>
  <c r="O37" i="7" l="1"/>
  <c r="D36" i="7"/>
  <c r="R36" i="7" s="1"/>
  <c r="D40" i="7"/>
  <c r="R23" i="7"/>
  <c r="J33" i="7"/>
  <c r="J44" i="7" s="1"/>
  <c r="H44" i="7"/>
  <c r="K44" i="7"/>
  <c r="I33" i="7"/>
  <c r="I44" i="7" s="1"/>
  <c r="L33" i="7"/>
  <c r="L44" i="7" s="1"/>
  <c r="M33" i="7"/>
  <c r="M44" i="7" s="1"/>
  <c r="M37" i="7"/>
  <c r="O44" i="7"/>
  <c r="N33" i="7"/>
  <c r="N44" i="7" s="1"/>
  <c r="N37" i="7"/>
  <c r="I37" i="7"/>
  <c r="H37" i="7"/>
  <c r="K37" i="7"/>
  <c r="S27" i="7"/>
  <c r="E16" i="7" l="1"/>
  <c r="E20" i="7" l="1"/>
  <c r="E37" i="7" s="1"/>
  <c r="G16" i="7"/>
  <c r="F16" i="7"/>
  <c r="C16" i="7"/>
  <c r="B33" i="7"/>
  <c r="B44" i="7" s="1"/>
  <c r="X36" i="5"/>
  <c r="W36" i="5"/>
  <c r="V36" i="5"/>
  <c r="U36" i="5"/>
  <c r="T36" i="5"/>
  <c r="S36" i="5"/>
  <c r="R36" i="5"/>
  <c r="Q36" i="5"/>
  <c r="P36" i="5"/>
  <c r="O36" i="5"/>
  <c r="L36" i="5"/>
  <c r="K36" i="5"/>
  <c r="I36" i="5"/>
  <c r="S14" i="7" l="1"/>
  <c r="I22" i="7"/>
  <c r="E33" i="7"/>
  <c r="E44" i="7" s="1"/>
  <c r="S16" i="7"/>
  <c r="S12" i="7"/>
  <c r="C20" i="7"/>
  <c r="C33" i="7" s="1"/>
  <c r="F20" i="7"/>
  <c r="G20" i="7"/>
  <c r="AA7" i="4"/>
  <c r="D16" i="7"/>
  <c r="R16" i="7" s="1"/>
  <c r="M36" i="5"/>
  <c r="AC7" i="4"/>
  <c r="I39" i="7" l="1"/>
  <c r="S22" i="7"/>
  <c r="I35" i="7"/>
  <c r="S35" i="7" s="1"/>
  <c r="G33" i="7"/>
  <c r="G44" i="7" s="1"/>
  <c r="F37" i="7"/>
  <c r="G37" i="7"/>
  <c r="C44" i="7"/>
  <c r="R12" i="7"/>
  <c r="C37" i="7"/>
  <c r="S20" i="7"/>
  <c r="D20" i="7"/>
  <c r="F33" i="7"/>
  <c r="S33" i="7" l="1"/>
  <c r="F44" i="7"/>
  <c r="R20" i="7"/>
  <c r="D37" i="7"/>
  <c r="D33" i="7"/>
  <c r="R33" i="7" s="1"/>
  <c r="D44" i="7" l="1"/>
</calcChain>
</file>

<file path=xl/sharedStrings.xml><?xml version="1.0" encoding="utf-8"?>
<sst xmlns="http://schemas.openxmlformats.org/spreadsheetml/2006/main" count="541" uniqueCount="243">
  <si>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</si>
  <si>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</si>
  <si>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</si>
  <si>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</si>
  <si>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</si>
  <si>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</si>
  <si>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</si>
  <si>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</si>
  <si>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</si>
  <si>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</si>
  <si>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</si>
  <si>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</si>
  <si>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</si>
  <si>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</si>
  <si>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</si>
  <si>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</si>
  <si>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</si>
  <si>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</si>
  <si>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</si>
  <si>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</si>
  <si>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</si>
  <si>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</si>
  <si>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</si>
  <si>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</si>
  <si>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</si>
  <si>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</si>
  <si>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</si>
  <si>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</si>
  <si>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</si>
  <si>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</si>
  <si>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</si>
  <si>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</si>
  <si>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</si>
  <si>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</si>
  <si>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</si>
  <si>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</si>
  <si>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</si>
  <si>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</si>
  <si>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</si>
  <si>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</si>
  <si>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</si>
  <si>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</si>
  <si>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</si>
  <si>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</si>
  <si>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</si>
  <si>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</si>
  <si>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</si>
  <si>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</si>
  <si>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RFRD/2024/P/3</t>
  </si>
  <si>
    <t>RFRD/2024/P/13</t>
  </si>
  <si>
    <t>RFRD/2024/P/7</t>
  </si>
  <si>
    <t>RFRD/2024/P/4</t>
  </si>
  <si>
    <t>RFRD/2024/P/12</t>
  </si>
  <si>
    <t>RFRD/2024/P/14</t>
  </si>
  <si>
    <t>RFRD/2024/P/5</t>
  </si>
  <si>
    <t>RFRD/2024/P/1</t>
  </si>
  <si>
    <t>RFRD/2024/P/2</t>
  </si>
  <si>
    <t>RFRD/2024/P/6</t>
  </si>
  <si>
    <t>Powiat Opolski</t>
  </si>
  <si>
    <t>Rozbudowa drogi powiatowej nr 1807 O Strzelce Opolskie - Krasiejów od km 14+780 do km 16+098</t>
  </si>
  <si>
    <t>B</t>
  </si>
  <si>
    <t>Powiat Prudnicki</t>
  </si>
  <si>
    <t>Przebudowa i rozbudowa drogi powiatowej nr 1613 O Prudnik-Czyżowice-granica gminy Prudnik - na odc. 3100 m</t>
  </si>
  <si>
    <t>Powiat Brzeski</t>
  </si>
  <si>
    <t>Przebudowa drogi powiatowej nr 1193 O ul. Wrocławska w m. Brzeg - etap II</t>
  </si>
  <si>
    <t>P</t>
  </si>
  <si>
    <t>Powiat Strzelecki</t>
  </si>
  <si>
    <t>Rozbudowa drogi powiatowej 1461 O Sieroniowice-Ujazd na odcinku Jaryszów - Ujazd Etap 2 i Etap 3</t>
  </si>
  <si>
    <t>Powiat Kluczborski</t>
  </si>
  <si>
    <t>R</t>
  </si>
  <si>
    <t>Remont drogi powiatowej nr 1252 O, relacji Biała - Grabina, w miejscowości Grabina na odcinku 819,40 m.</t>
  </si>
  <si>
    <t>marzec 2025 grudzień 2025</t>
  </si>
  <si>
    <t>Powiat Oleski</t>
  </si>
  <si>
    <t>Przebudowa drogi powiatowej nr 1928 O na odcinku Bugaj – Bobrowa</t>
  </si>
  <si>
    <t>kwiecień 2025 listopad 2025</t>
  </si>
  <si>
    <t>Powiat Krapkowicki</t>
  </si>
  <si>
    <t>Rozbudowa drogi powiatowej nr 1443 O na odcinku Zdzieszowice - Żyrowa</t>
  </si>
  <si>
    <t>Powiat Kędzierzyńsko-Kozielski</t>
  </si>
  <si>
    <t>Przebudowa drogi powiatowej nr 1433 O relacji Ortowice - Stara Kuźnia odcinek od km 0+990 do km 2+102,7</t>
  </si>
  <si>
    <t>czerwiec 2025 październik 2025</t>
  </si>
  <si>
    <t>Powiat Namysłowski</t>
  </si>
  <si>
    <t>Remont drogi powiatowej nr 1117 O na odcinku Łączany - Ziemiełowice</t>
  </si>
  <si>
    <t>grudzień 2024 sierpień 2025</t>
  </si>
  <si>
    <t>RFRD/2023/P/18</t>
  </si>
  <si>
    <t>W</t>
  </si>
  <si>
    <t>Remont drogi powiatowej nr 1321 O na odcinku o długości 3470 m (od km 11+990 do km 15+460)</t>
  </si>
  <si>
    <t>N</t>
  </si>
  <si>
    <t>K</t>
  </si>
  <si>
    <t>RFRD/2024/G/9</t>
  </si>
  <si>
    <t>RFRD/2024/G/1</t>
  </si>
  <si>
    <t>RFRD/2024/G/11</t>
  </si>
  <si>
    <t>RFRD/2024/G/8</t>
  </si>
  <si>
    <t>RFRD/2024/G/57</t>
  </si>
  <si>
    <t>RFRD/2024/G/47</t>
  </si>
  <si>
    <t>RFRD/2024/G/30</t>
  </si>
  <si>
    <t>RFRD/2024/G/25</t>
  </si>
  <si>
    <t>RFRD/2024/G/12</t>
  </si>
  <si>
    <t>Gmina Nysa</t>
  </si>
  <si>
    <t>Powiat Nyski</t>
  </si>
  <si>
    <t>Rozbudowa i przebudowa drogi gminnej w ulicy Franciszkańskiej wraz z rozbudową i przebudową skrzyżowania drogi gminnej ulicy Franciszkańskiej z drogą wojewódzką ulicą Grodkowską w Nysie</t>
  </si>
  <si>
    <t>Gmina Niemodlin</t>
  </si>
  <si>
    <t>1609073</t>
  </si>
  <si>
    <t>Rozbudowa ul. Sportowej w miejscowości Gracze</t>
  </si>
  <si>
    <t>Gmina Prudnik</t>
  </si>
  <si>
    <t>Gmina Gogolin</t>
  </si>
  <si>
    <t>Rozbudowa ulicy Kościelnej w miejscowości Gogolin</t>
  </si>
  <si>
    <t>marzec 2025 wrzesień 2025</t>
  </si>
  <si>
    <t>Gmina Strzelce Opolskie</t>
  </si>
  <si>
    <t>Gmina Brzeg</t>
  </si>
  <si>
    <t>Przebudowa ul. Trzech Kotwic w Brzegu</t>
  </si>
  <si>
    <t>czerwiec 2025 grudzień 2026</t>
  </si>
  <si>
    <t>Gmina Kędzierzyn-Koźle</t>
  </si>
  <si>
    <t>Remont ul. Poniatowskiego w Kędzierzynie-Koźlu</t>
  </si>
  <si>
    <t>Gmina Głuchołazy</t>
  </si>
  <si>
    <t>Rozbudowa drogi ul. Słowackiego w Głuchołazach</t>
  </si>
  <si>
    <t>Gmina Olesno</t>
  </si>
  <si>
    <t>Przebudowa ul. Kuźnickiej w Borkach Wielkich</t>
  </si>
  <si>
    <t>Gmina Reńska Wieś</t>
  </si>
  <si>
    <t>Gmina Zdzieszowice</t>
  </si>
  <si>
    <t>Rozbudowa drogi gminnej nr 106069 O, ul. Myśliwca w Zdzieszowicach</t>
  </si>
  <si>
    <t>RFRD/2023/G/79</t>
  </si>
  <si>
    <t>Gmina Łubniany</t>
  </si>
  <si>
    <t>Budowa drogi gminnej ul. Osiedlowej w m. Jełowa</t>
  </si>
  <si>
    <t>kwiecień 2024 wrzesień 2025</t>
  </si>
  <si>
    <t>RFRD/2023/G/20</t>
  </si>
  <si>
    <t>Powiat Kędzierzyńsko - Kozielski</t>
  </si>
  <si>
    <t>Budowa odcinka łącznika obwodnicy północnej miasta Kędzierzyn-Koźle (od ronda na ul. Szpaków do obwodnicy)</t>
  </si>
  <si>
    <t>wrzesień 2023 sierpień 2025</t>
  </si>
  <si>
    <t>RFRD/2023/G/57</t>
  </si>
  <si>
    <t>Przebudowa ulicy Poprzecznej w Brzegu</t>
  </si>
  <si>
    <t>sierpień 2024 wrzesień 2026</t>
  </si>
  <si>
    <t>RFRD/2023/G/23</t>
  </si>
  <si>
    <t>Przebudowa i rozbudowa ciągu ulic Ogrodowa, Chrobrego i Kochanowskiego w Prudniku</t>
  </si>
  <si>
    <t>RFRD/2023/G/92</t>
  </si>
  <si>
    <t>Gmina Grodków</t>
  </si>
  <si>
    <t>Budowa dróg na Osiedlu Kościuszki- Racławicka w Grodkowie</t>
  </si>
  <si>
    <t>RFRD/2023/G/56</t>
  </si>
  <si>
    <t>Budowa ul. Śliwkowej w Brzegu</t>
  </si>
  <si>
    <t>RFRD/2023/G/88</t>
  </si>
  <si>
    <t>Gmina Jemielnica</t>
  </si>
  <si>
    <t>Przebudowa dróg gminnych ul. Sosnowej i Brzozowej w miejscowości Jemielnica</t>
  </si>
  <si>
    <t>RFRD/2023/G/70</t>
  </si>
  <si>
    <t>Gmina Namysłów</t>
  </si>
  <si>
    <t>Budowa dróg gminnych - ul. Dębowej, ul. Jodłowej, ul. Modrzewiowej oraz ul. Orzechowej wraz z kanalizacją deszczową i oświetleniem</t>
  </si>
  <si>
    <t>styczeń 2024 listopad 2025</t>
  </si>
  <si>
    <t>RFRD/2023/G/29</t>
  </si>
  <si>
    <t>Budowa drogi gminnej w Podlesiu</t>
  </si>
  <si>
    <t>luty 2024             maj 2025</t>
  </si>
  <si>
    <t>luty 2024            czerwiec 2025</t>
  </si>
  <si>
    <t>styczeń 2024           luty 2025</t>
  </si>
  <si>
    <t>RFRD/2024/G/13</t>
  </si>
  <si>
    <t>RFRD/2024/G/19</t>
  </si>
  <si>
    <t>RFRD/2024/G/20</t>
  </si>
  <si>
    <t>RFRD/2024/G/49</t>
  </si>
  <si>
    <t>RFRD/2024/G/60</t>
  </si>
  <si>
    <t>RFRD/2024/G/43</t>
  </si>
  <si>
    <t>RFRD/2024/G/44</t>
  </si>
  <si>
    <t>RFRD/2024/G/73</t>
  </si>
  <si>
    <t>RFRD/2024/G/82</t>
  </si>
  <si>
    <t>RFRD/2024/G/77</t>
  </si>
  <si>
    <t>RFRD/2024/G/59</t>
  </si>
  <si>
    <t>RFRD/2024/G/48</t>
  </si>
  <si>
    <t>RFRD/2024/G/17</t>
  </si>
  <si>
    <t>RFRD/2024/G/58</t>
  </si>
  <si>
    <t>RFRD/2024/G/18</t>
  </si>
  <si>
    <t>RFRD/2024/G/72</t>
  </si>
  <si>
    <t>RFRD/2024/G/86</t>
  </si>
  <si>
    <t>RFRD/2024/G/23</t>
  </si>
  <si>
    <t>Gmina Praszka</t>
  </si>
  <si>
    <t>Przebudowa drogi gminnej nr 100915 O Piculice-Skotnica</t>
  </si>
  <si>
    <t>Gmina Dobrzeń Wielki</t>
  </si>
  <si>
    <t>Budowa drogi gminnej oznaczonej w MPZP jako KDZ-2 w m. Dobrzeń Wielki</t>
  </si>
  <si>
    <t>Remont drogi gminnej ul. Strzelców Bytomskich w m. Dobrzeń Wielki - Etap 2</t>
  </si>
  <si>
    <t>Remont drogi gminnej - ul. Planetorza w Kędzierzynie - Koźlu</t>
  </si>
  <si>
    <t>Gmina Krapkowice</t>
  </si>
  <si>
    <t>Budowa drogi gminnej ulicy Oleandrów w Krapkowicach</t>
  </si>
  <si>
    <t>Gmina Ozimek</t>
  </si>
  <si>
    <t>Przebudowa ulic Jesionowej, Sosnowej i Leśnej w Ozimku wraz z odwodnieniem</t>
  </si>
  <si>
    <t>Remont nawierzchni jezdni drogi gminnej nr 103349 O - ul. Cmentarnej, pętli autobusowej na działce 126/36 i drogi gminnej nr 103339 O - ul. Gen. Wł. Sikorskiego w m. Ozimek</t>
  </si>
  <si>
    <t>Gmina Zawadzkie</t>
  </si>
  <si>
    <t>Rozbudowa ul. Opolskiej na odcinku od drogi wojewódzkiej nr 901 do ul. Nowej w Zawadzkiem</t>
  </si>
  <si>
    <t>czerwiec 2025 grudzień 2025</t>
  </si>
  <si>
    <t>Gmina Kolonowskie</t>
  </si>
  <si>
    <t>Przebudowa drogi gminnej - ul. Guznera w Spóroku</t>
  </si>
  <si>
    <t>maj 2025 wrzesień 2025</t>
  </si>
  <si>
    <t>Przebudowa ul. Marka Prawego w Strzelcach Opolskich - etap III</t>
  </si>
  <si>
    <t>Budowa ul. Jagodowej w Brzegu</t>
  </si>
  <si>
    <t>Przebudowa drogi gminnej - ul. Tadeusza Kościuszki w Kędzierzynie-Koźlu</t>
  </si>
  <si>
    <t>Budowa drogi gminnej - ul. Pogodnej w miejscowości Luboszyce</t>
  </si>
  <si>
    <t>wrzesień 2025 wrzesień 2026</t>
  </si>
  <si>
    <t>Remont drogi gminnej ulicy Ks. Jana Dzierżona nr 103333 0 w m. Ozimek</t>
  </si>
  <si>
    <t>Gmina Popielów</t>
  </si>
  <si>
    <t>Przebudowa i rozbudowa dróg gminnych ul. Zielonej i ul. Polnej w miejscowości Stare Siołkowice</t>
  </si>
  <si>
    <t>kwiecień 2025 wrzesień 2025</t>
  </si>
  <si>
    <t>Gmina Dąbrowa</t>
  </si>
  <si>
    <t>Przebudowa drogi wewnętrznej ul. Leśnej w miejscowości Narok</t>
  </si>
  <si>
    <t>Budowa drogi gminnej - ul. Jaśminowa w Długomiłowicach</t>
  </si>
  <si>
    <t>Gmina Biała</t>
  </si>
  <si>
    <t>Remont drogi gminnej w miejscowości Chrzelice</t>
  </si>
  <si>
    <t>Remont drogi gminnej ul. Wyzwolenia i ul. Damrota w m. Chróścice</t>
  </si>
  <si>
    <t>Budowa ul. Poziomkowej w Brzegu</t>
  </si>
  <si>
    <t>Remont drogi gminnej ul. Morcinka w m. Dobrzeń Wielki</t>
  </si>
  <si>
    <t>Gmina Leśnica</t>
  </si>
  <si>
    <t>Remont drogi gminnej nr 105912 O ul. Kościelna w Łąkach Kozielskich</t>
  </si>
  <si>
    <t>maj 2025 październik 2025</t>
  </si>
  <si>
    <t>Remont drogi gminnej nr 105888 O ul. Wiejska w Porębie</t>
  </si>
  <si>
    <t>Gmina Otmuchów</t>
  </si>
  <si>
    <t>Remont ul. Lipowej – Etap II</t>
  </si>
  <si>
    <r>
      <t xml:space="preserve">Województwo: </t>
    </r>
    <r>
      <rPr>
        <sz val="10"/>
        <color rgb="FFFF0000"/>
        <rFont val="Times New Roman"/>
        <family val="1"/>
        <charset val="238"/>
      </rPr>
      <t>OPOLSKIE</t>
    </r>
  </si>
  <si>
    <t xml:space="preserve"> Budowa drogi wraz z infrastrukturą techniczną na terenach inwestycyjnych - ul. Meblarska w Prudniku (Etap III)</t>
  </si>
  <si>
    <t xml:space="preserve">styczeń 2024               luty 2025 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</si>
  <si>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2025 r.</t>
    </r>
  </si>
  <si>
    <t>1607053</t>
  </si>
  <si>
    <t>1607063</t>
  </si>
  <si>
    <t>kwiecień 2024 listopad 2025</t>
  </si>
  <si>
    <t>Remont odcinka drogi powiatowej nr 1323 O o długości 1 390 m (od km 1+801 do km 3+191) w miejscowości Rożnów</t>
  </si>
  <si>
    <t>REZYGNACJA</t>
  </si>
  <si>
    <t>RFRD/2024/G/14 przeniesiono z listy rezerwowej</t>
  </si>
  <si>
    <t>RFRD/2024/G/35 przeniesiono z listy rezerwowej</t>
  </si>
  <si>
    <t>RFRD/2024/G/28 przeniesiono z listy rezerwowej</t>
  </si>
  <si>
    <t>RFRD/2024/G/14 zadanie przeniesione na listę podstawową</t>
  </si>
  <si>
    <t>RFRD/2024/G/35 zadanie przeniesione na listę podstawową</t>
  </si>
  <si>
    <t>RFRD/2024/G/28 zadanie przeniesione na listę podstawową</t>
  </si>
  <si>
    <t>marzec 2025 lipiec 2025</t>
  </si>
  <si>
    <t>kwiecień 2025           lipiec 2025</t>
  </si>
  <si>
    <t>kwiecień 2025-wrzesień 2025</t>
  </si>
  <si>
    <t>kwiecień 2025 październik 2025</t>
  </si>
  <si>
    <t>RFRD/2024/G/31</t>
  </si>
  <si>
    <t>RFRD/2024/G/88</t>
  </si>
  <si>
    <t>RFRD/2024/G/6</t>
  </si>
  <si>
    <t>kwiecień 2025                 październik 2025</t>
  </si>
  <si>
    <t>maj 2025 listopad 2025</t>
  </si>
  <si>
    <t>kwiecień 2025 paźdzoernik 2025</t>
  </si>
  <si>
    <t>czerwiec 2025         listopad 2025</t>
  </si>
  <si>
    <t>czerwiec 2025 listopad 2025</t>
  </si>
  <si>
    <t>maj 2025 czerwiec 2026</t>
  </si>
  <si>
    <t>czerwiec 2025 październik 2026</t>
  </si>
  <si>
    <t>maj 2025 grudzień 2025</t>
  </si>
  <si>
    <t>maj 2025 maj 2026</t>
  </si>
  <si>
    <t>sierpień 2025 grudzień 2025</t>
  </si>
  <si>
    <t>marzec 2024            listopad 2025</t>
  </si>
  <si>
    <t>Lista zmieniona nr 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</si>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</sst>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0.000"/>
    <numFmt numFmtId="168" formatCode="0.0000000"/>
  </numFmts>
  <fonts count="4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2"/>
      <name val="Times New Roman"/>
      <family val="1"/>
      <charset val="238"/>
    </font>
    <font>
      <b/>
      <sz val="9"/>
      <color theme="9"/>
      <name val="Times New Roman"/>
      <family val="1"/>
      <charset val="238"/>
    </font>
    <font>
      <b/>
      <sz val="9"/>
      <color rgb="FFFF000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 wrapText="1"/>
    </xf>
    <xf numFmtId="165" fontId="13" fillId="5" borderId="23" xfId="0" applyNumberFormat="1" applyFont="1" applyFill="1" applyBorder="1" applyAlignment="1">
      <alignment vertical="center"/>
    </xf>
    <xf numFmtId="165" fontId="20" fillId="5" borderId="23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9" fontId="22" fillId="0" borderId="4" xfId="0" applyNumberFormat="1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166" fontId="27" fillId="2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9" fontId="27" fillId="2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4" fontId="25" fillId="0" borderId="1" xfId="0" applyNumberFormat="1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165" fontId="20" fillId="3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3" fillId="4" borderId="22" xfId="0" applyNumberFormat="1" applyFont="1" applyFill="1" applyBorder="1" applyAlignment="1">
      <alignment vertical="center"/>
    </xf>
    <xf numFmtId="0" fontId="20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5" fontId="20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vertical="center"/>
    </xf>
    <xf numFmtId="165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5" fontId="20" fillId="3" borderId="3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4" borderId="3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165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5" fontId="13" fillId="0" borderId="33" xfId="0" applyNumberFormat="1" applyFont="1" applyFill="1" applyBorder="1" applyAlignment="1">
      <alignment vertical="center"/>
    </xf>
    <xf numFmtId="165" fontId="13" fillId="0" borderId="34" xfId="0" applyNumberFormat="1" applyFont="1" applyFill="1" applyBorder="1" applyAlignment="1">
      <alignment vertical="center"/>
    </xf>
    <xf numFmtId="165" fontId="13" fillId="5" borderId="35" xfId="0" applyNumberFormat="1" applyFont="1" applyFill="1" applyBorder="1" applyAlignment="1">
      <alignment vertical="center"/>
    </xf>
    <xf numFmtId="165" fontId="13" fillId="0" borderId="32" xfId="0" applyNumberFormat="1" applyFont="1" applyFill="1" applyBorder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20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20" fillId="0" borderId="39" xfId="0" applyFont="1" applyFill="1" applyBorder="1" applyAlignment="1">
      <alignment horizontal="left" vertical="center" indent="2"/>
    </xf>
    <xf numFmtId="165" fontId="20" fillId="5" borderId="43" xfId="0" applyNumberFormat="1" applyFont="1" applyFill="1" applyBorder="1" applyAlignment="1">
      <alignment vertical="center"/>
    </xf>
    <xf numFmtId="0" fontId="21" fillId="3" borderId="31" xfId="0" applyFont="1" applyFill="1" applyBorder="1" applyAlignment="1">
      <alignment vertical="center"/>
    </xf>
    <xf numFmtId="0" fontId="21" fillId="3" borderId="32" xfId="0" applyNumberFormat="1" applyFont="1" applyFill="1" applyBorder="1" applyAlignment="1">
      <alignment vertical="center"/>
    </xf>
    <xf numFmtId="165" fontId="21" fillId="3" borderId="33" xfId="0" applyNumberFormat="1" applyFont="1" applyFill="1" applyBorder="1" applyAlignment="1">
      <alignment vertical="center"/>
    </xf>
    <xf numFmtId="165" fontId="21" fillId="3" borderId="34" xfId="0" applyNumberFormat="1" applyFont="1" applyFill="1" applyBorder="1" applyAlignment="1">
      <alignment vertical="center"/>
    </xf>
    <xf numFmtId="165" fontId="21" fillId="5" borderId="35" xfId="0" applyNumberFormat="1" applyFont="1" applyFill="1" applyBorder="1" applyAlignment="1">
      <alignment vertical="center"/>
    </xf>
    <xf numFmtId="165" fontId="21" fillId="3" borderId="32" xfId="0" applyNumberFormat="1" applyFont="1" applyFill="1" applyBorder="1" applyAlignment="1">
      <alignment vertical="center"/>
    </xf>
    <xf numFmtId="165" fontId="21" fillId="3" borderId="36" xfId="0" applyNumberFormat="1" applyFont="1" applyFill="1" applyBorder="1" applyAlignment="1">
      <alignment vertical="center"/>
    </xf>
    <xf numFmtId="0" fontId="20" fillId="3" borderId="37" xfId="0" applyFont="1" applyFill="1" applyBorder="1" applyAlignment="1">
      <alignment horizontal="left" vertical="center" wrapText="1" indent="2"/>
    </xf>
    <xf numFmtId="165" fontId="20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5" fontId="13" fillId="3" borderId="38" xfId="0" applyNumberFormat="1" applyFont="1" applyFill="1" applyBorder="1" applyAlignment="1">
      <alignment vertical="center"/>
    </xf>
    <xf numFmtId="0" fontId="20" fillId="3" borderId="39" xfId="0" applyFont="1" applyFill="1" applyBorder="1" applyAlignment="1">
      <alignment horizontal="left" vertical="center" indent="2"/>
    </xf>
    <xf numFmtId="0" fontId="20" fillId="3" borderId="40" xfId="0" applyNumberFormat="1" applyFont="1" applyFill="1" applyBorder="1" applyAlignment="1">
      <alignment vertical="center"/>
    </xf>
    <xf numFmtId="165" fontId="20" fillId="3" borderId="41" xfId="0" applyNumberFormat="1" applyFont="1" applyFill="1" applyBorder="1" applyAlignment="1">
      <alignment vertical="center"/>
    </xf>
    <xf numFmtId="165" fontId="20" fillId="3" borderId="42" xfId="0" applyNumberFormat="1" applyFont="1" applyFill="1" applyBorder="1" applyAlignment="1">
      <alignment vertical="center"/>
    </xf>
    <xf numFmtId="165" fontId="20" fillId="3" borderId="40" xfId="0" applyNumberFormat="1" applyFont="1" applyFill="1" applyBorder="1" applyAlignment="1">
      <alignment vertical="center"/>
    </xf>
    <xf numFmtId="165" fontId="20" fillId="3" borderId="44" xfId="0" applyNumberFormat="1" applyFont="1" applyFill="1" applyBorder="1" applyAlignment="1">
      <alignment vertical="center"/>
    </xf>
    <xf numFmtId="0" fontId="20" fillId="4" borderId="25" xfId="0" applyFont="1" applyFill="1" applyBorder="1" applyAlignment="1">
      <alignment horizontal="left" vertical="center" indent="2"/>
    </xf>
    <xf numFmtId="0" fontId="20" fillId="4" borderId="26" xfId="0" applyNumberFormat="1" applyFont="1" applyFill="1" applyBorder="1" applyAlignment="1">
      <alignment vertical="center"/>
    </xf>
    <xf numFmtId="165" fontId="20" fillId="4" borderId="4" xfId="0" applyNumberFormat="1" applyFont="1" applyFill="1" applyBorder="1" applyAlignment="1">
      <alignment vertical="center"/>
    </xf>
    <xf numFmtId="165" fontId="20" fillId="4" borderId="7" xfId="0" applyNumberFormat="1" applyFont="1" applyFill="1" applyBorder="1" applyAlignment="1">
      <alignment vertical="center"/>
    </xf>
    <xf numFmtId="165" fontId="20" fillId="5" borderId="25" xfId="0" applyNumberFormat="1" applyFont="1" applyFill="1" applyBorder="1" applyAlignment="1">
      <alignment vertical="center"/>
    </xf>
    <xf numFmtId="165" fontId="20" fillId="4" borderId="26" xfId="0" applyNumberFormat="1" applyFont="1" applyFill="1" applyBorder="1" applyAlignment="1">
      <alignment vertical="center"/>
    </xf>
    <xf numFmtId="165" fontId="20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5" fontId="14" fillId="6" borderId="33" xfId="0" applyNumberFormat="1" applyFont="1" applyFill="1" applyBorder="1" applyAlignment="1">
      <alignment vertical="center"/>
    </xf>
    <xf numFmtId="165" fontId="14" fillId="6" borderId="34" xfId="0" applyNumberFormat="1" applyFont="1" applyFill="1" applyBorder="1" applyAlignment="1">
      <alignment vertical="center"/>
    </xf>
    <xf numFmtId="165" fontId="14" fillId="5" borderId="35" xfId="0" applyNumberFormat="1" applyFont="1" applyFill="1" applyBorder="1" applyAlignment="1">
      <alignment vertical="center"/>
    </xf>
    <xf numFmtId="165" fontId="14" fillId="6" borderId="32" xfId="0" applyNumberFormat="1" applyFont="1" applyFill="1" applyBorder="1" applyAlignment="1">
      <alignment vertical="center"/>
    </xf>
    <xf numFmtId="165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5" fontId="14" fillId="6" borderId="38" xfId="0" applyNumberFormat="1" applyFont="1" applyFill="1" applyBorder="1" applyAlignment="1">
      <alignment vertical="center"/>
    </xf>
    <xf numFmtId="0" fontId="20" fillId="6" borderId="39" xfId="0" applyFont="1" applyFill="1" applyBorder="1" applyAlignment="1">
      <alignment horizontal="left" vertical="center" indent="2"/>
    </xf>
    <xf numFmtId="0" fontId="20" fillId="6" borderId="40" xfId="0" applyNumberFormat="1" applyFont="1" applyFill="1" applyBorder="1" applyAlignment="1">
      <alignment vertical="center"/>
    </xf>
    <xf numFmtId="165" fontId="20" fillId="6" borderId="41" xfId="0" applyNumberFormat="1" applyFont="1" applyFill="1" applyBorder="1" applyAlignment="1">
      <alignment vertical="center"/>
    </xf>
    <xf numFmtId="165" fontId="20" fillId="6" borderId="42" xfId="0" applyNumberFormat="1" applyFont="1" applyFill="1" applyBorder="1" applyAlignment="1">
      <alignment vertical="center"/>
    </xf>
    <xf numFmtId="165" fontId="20" fillId="6" borderId="40" xfId="0" applyNumberFormat="1" applyFont="1" applyFill="1" applyBorder="1" applyAlignment="1">
      <alignment vertical="center"/>
    </xf>
    <xf numFmtId="165" fontId="20" fillId="6" borderId="44" xfId="0" applyNumberFormat="1" applyFont="1" applyFill="1" applyBorder="1" applyAlignment="1">
      <alignment vertical="center"/>
    </xf>
    <xf numFmtId="0" fontId="20" fillId="2" borderId="3" xfId="0" applyNumberFormat="1" applyFont="1" applyFill="1" applyBorder="1" applyAlignment="1">
      <alignment vertical="center"/>
    </xf>
    <xf numFmtId="165" fontId="20" fillId="2" borderId="1" xfId="0" applyNumberFormat="1" applyFont="1" applyFill="1" applyBorder="1" applyAlignment="1">
      <alignment vertical="center"/>
    </xf>
    <xf numFmtId="165" fontId="20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20" fillId="2" borderId="40" xfId="0" applyNumberFormat="1" applyFont="1" applyFill="1" applyBorder="1" applyAlignment="1">
      <alignment vertical="center"/>
    </xf>
    <xf numFmtId="165" fontId="20" fillId="2" borderId="41" xfId="0" applyNumberFormat="1" applyFont="1" applyFill="1" applyBorder="1" applyAlignment="1">
      <alignment vertical="center"/>
    </xf>
    <xf numFmtId="165" fontId="20" fillId="2" borderId="42" xfId="0" applyNumberFormat="1" applyFont="1" applyFill="1" applyBorder="1" applyAlignment="1">
      <alignment vertical="center"/>
    </xf>
    <xf numFmtId="165" fontId="20" fillId="2" borderId="3" xfId="0" applyNumberFormat="1" applyFont="1" applyFill="1" applyBorder="1" applyAlignment="1">
      <alignment vertical="center"/>
    </xf>
    <xf numFmtId="165" fontId="20" fillId="2" borderId="38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38" xfId="0" applyNumberFormat="1" applyFont="1" applyFill="1" applyBorder="1" applyAlignment="1">
      <alignment vertical="center"/>
    </xf>
    <xf numFmtId="165" fontId="20" fillId="2" borderId="40" xfId="0" applyNumberFormat="1" applyFont="1" applyFill="1" applyBorder="1" applyAlignment="1">
      <alignment vertical="center"/>
    </xf>
    <xf numFmtId="165" fontId="20" fillId="2" borderId="44" xfId="0" applyNumberFormat="1" applyFont="1" applyFill="1" applyBorder="1" applyAlignment="1">
      <alignment vertical="center"/>
    </xf>
    <xf numFmtId="165" fontId="13" fillId="2" borderId="32" xfId="0" applyNumberFormat="1" applyFont="1" applyFill="1" applyBorder="1" applyAlignment="1">
      <alignment vertical="center"/>
    </xf>
    <xf numFmtId="165" fontId="13" fillId="2" borderId="33" xfId="0" applyNumberFormat="1" applyFont="1" applyFill="1" applyBorder="1" applyAlignment="1">
      <alignment vertical="center"/>
    </xf>
    <xf numFmtId="165" fontId="13" fillId="2" borderId="36" xfId="0" applyNumberFormat="1" applyFont="1" applyFill="1" applyBorder="1" applyAlignment="1">
      <alignment vertical="center"/>
    </xf>
    <xf numFmtId="0" fontId="20" fillId="6" borderId="37" xfId="0" applyFont="1" applyFill="1" applyBorder="1" applyAlignment="1">
      <alignment horizontal="left" vertical="center" wrapText="1" indent="2"/>
    </xf>
    <xf numFmtId="0" fontId="20" fillId="6" borderId="29" xfId="0" applyNumberFormat="1" applyFont="1" applyFill="1" applyBorder="1" applyAlignment="1">
      <alignment vertical="center"/>
    </xf>
    <xf numFmtId="165" fontId="20" fillId="6" borderId="1" xfId="0" applyNumberFormat="1" applyFont="1" applyFill="1" applyBorder="1" applyAlignment="1">
      <alignment vertical="center"/>
    </xf>
    <xf numFmtId="165" fontId="20" fillId="6" borderId="2" xfId="0" applyNumberFormat="1" applyFont="1" applyFill="1" applyBorder="1" applyAlignment="1">
      <alignment vertical="center"/>
    </xf>
    <xf numFmtId="165" fontId="20" fillId="6" borderId="3" xfId="0" applyNumberFormat="1" applyFont="1" applyFill="1" applyBorder="1" applyAlignment="1">
      <alignment vertical="center"/>
    </xf>
    <xf numFmtId="165" fontId="20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8" fillId="4" borderId="28" xfId="0" applyFont="1" applyFill="1" applyBorder="1" applyAlignment="1">
      <alignment vertical="center"/>
    </xf>
    <xf numFmtId="0" fontId="28" fillId="4" borderId="29" xfId="0" applyNumberFormat="1" applyFont="1" applyFill="1" applyBorder="1" applyAlignment="1">
      <alignment vertical="center"/>
    </xf>
    <xf numFmtId="165" fontId="28" fillId="4" borderId="5" xfId="0" applyNumberFormat="1" applyFont="1" applyFill="1" applyBorder="1" applyAlignment="1">
      <alignment vertical="center"/>
    </xf>
    <xf numFmtId="165" fontId="28" fillId="4" borderId="8" xfId="0" applyNumberFormat="1" applyFont="1" applyFill="1" applyBorder="1" applyAlignment="1">
      <alignment vertical="center"/>
    </xf>
    <xf numFmtId="165" fontId="28" fillId="5" borderId="28" xfId="0" applyNumberFormat="1" applyFont="1" applyFill="1" applyBorder="1" applyAlignment="1">
      <alignment vertical="center"/>
    </xf>
    <xf numFmtId="165" fontId="28" fillId="4" borderId="29" xfId="0" applyNumberFormat="1" applyFont="1" applyFill="1" applyBorder="1" applyAlignment="1">
      <alignment vertical="center"/>
    </xf>
    <xf numFmtId="165" fontId="28" fillId="4" borderId="30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9" fillId="0" borderId="0" xfId="0" applyFont="1"/>
    <xf numFmtId="0" fontId="32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  <xf numFmtId="166" fontId="32" fillId="0" borderId="1" xfId="0" applyNumberFormat="1" applyFont="1" applyFill="1" applyBorder="1" applyAlignment="1">
      <alignment horizontal="center" vertical="center"/>
    </xf>
    <xf numFmtId="164" fontId="32" fillId="0" borderId="1" xfId="0" applyNumberFormat="1" applyFont="1" applyFill="1" applyBorder="1" applyAlignment="1">
      <alignment horizontal="center" vertical="center" wrapText="1"/>
    </xf>
    <xf numFmtId="2" fontId="34" fillId="0" borderId="2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2" fontId="34" fillId="0" borderId="9" xfId="0" applyNumberFormat="1" applyFont="1" applyBorder="1" applyAlignment="1">
      <alignment horizontal="center" vertical="center" wrapText="1"/>
    </xf>
    <xf numFmtId="9" fontId="30" fillId="2" borderId="1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 shrinkToFit="1"/>
    </xf>
    <xf numFmtId="0" fontId="16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39" fillId="0" borderId="0" xfId="0" applyFont="1"/>
    <xf numFmtId="0" fontId="40" fillId="0" borderId="1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7" fontId="32" fillId="2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 vertical="center"/>
    </xf>
    <xf numFmtId="9" fontId="32" fillId="0" borderId="1" xfId="0" applyNumberFormat="1" applyFont="1" applyFill="1" applyBorder="1" applyAlignment="1">
      <alignment horizontal="center" vertical="center" wrapText="1"/>
    </xf>
    <xf numFmtId="167" fontId="32" fillId="0" borderId="1" xfId="0" applyNumberFormat="1" applyFont="1" applyFill="1" applyBorder="1" applyAlignment="1">
      <alignment horizontal="center" vertical="center" wrapText="1"/>
    </xf>
    <xf numFmtId="10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4" fontId="40" fillId="0" borderId="1" xfId="0" applyNumberFormat="1" applyFont="1" applyFill="1" applyBorder="1" applyAlignment="1">
      <alignment horizontal="right" vertical="center" wrapText="1"/>
    </xf>
    <xf numFmtId="4" fontId="40" fillId="0" borderId="1" xfId="0" applyNumberFormat="1" applyFont="1" applyBorder="1" applyAlignment="1">
      <alignment horizontal="right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4" fontId="38" fillId="0" borderId="1" xfId="0" applyNumberFormat="1" applyFont="1" applyBorder="1" applyAlignment="1">
      <alignment horizontal="right" vertical="center"/>
    </xf>
    <xf numFmtId="166" fontId="31" fillId="2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right" vertical="center" wrapText="1"/>
    </xf>
    <xf numFmtId="4" fontId="31" fillId="0" borderId="1" xfId="0" applyNumberFormat="1" applyFont="1" applyBorder="1" applyAlignment="1">
      <alignment horizontal="right" vertical="center" wrapText="1"/>
    </xf>
    <xf numFmtId="9" fontId="31" fillId="2" borderId="1" xfId="0" applyNumberFormat="1" applyFont="1" applyFill="1" applyBorder="1" applyAlignment="1">
      <alignment horizontal="center" vertical="center"/>
    </xf>
    <xf numFmtId="4" fontId="31" fillId="0" borderId="1" xfId="0" applyNumberFormat="1" applyFont="1" applyBorder="1" applyAlignment="1">
      <alignment horizontal="right" vertical="center"/>
    </xf>
    <xf numFmtId="0" fontId="39" fillId="0" borderId="0" xfId="0" applyFont="1" applyFill="1" applyAlignment="1">
      <alignment wrapText="1" shrinkToFit="1"/>
    </xf>
    <xf numFmtId="0" fontId="39" fillId="0" borderId="0" xfId="0" applyFont="1" applyAlignment="1">
      <alignment horizontal="center"/>
    </xf>
    <xf numFmtId="0" fontId="40" fillId="0" borderId="6" xfId="0" applyFont="1" applyFill="1" applyBorder="1" applyAlignment="1">
      <alignment vertical="center" wrapText="1"/>
    </xf>
    <xf numFmtId="0" fontId="39" fillId="0" borderId="0" xfId="0" applyFont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39" fillId="0" borderId="0" xfId="0" applyFont="1" applyFill="1"/>
    <xf numFmtId="0" fontId="32" fillId="0" borderId="0" xfId="1" applyFont="1" applyFill="1" applyAlignment="1">
      <alignment vertical="center"/>
    </xf>
    <xf numFmtId="0" fontId="36" fillId="0" borderId="0" xfId="0" applyFont="1"/>
    <xf numFmtId="49" fontId="22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9" fillId="7" borderId="0" xfId="0" applyFont="1" applyFill="1"/>
    <xf numFmtId="0" fontId="0" fillId="7" borderId="0" xfId="0" applyFill="1"/>
    <xf numFmtId="0" fontId="35" fillId="7" borderId="0" xfId="0" applyFont="1" applyFill="1"/>
    <xf numFmtId="0" fontId="39" fillId="7" borderId="0" xfId="0" applyFont="1" applyFill="1"/>
    <xf numFmtId="0" fontId="29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9" fontId="32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vertical="center" wrapText="1"/>
    </xf>
    <xf numFmtId="2" fontId="32" fillId="0" borderId="1" xfId="0" applyNumberFormat="1" applyFont="1" applyFill="1" applyBorder="1" applyAlignment="1">
      <alignment horizontal="center" vertical="center" wrapText="1"/>
    </xf>
    <xf numFmtId="165" fontId="39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5" fontId="39" fillId="0" borderId="0" xfId="0" applyNumberFormat="1" applyFont="1"/>
    <xf numFmtId="0" fontId="29" fillId="0" borderId="0" xfId="0" applyFont="1" applyFill="1"/>
    <xf numFmtId="0" fontId="18" fillId="0" borderId="0" xfId="0" applyFont="1" applyAlignment="1">
      <alignment horizontal="center" vertical="center"/>
    </xf>
    <xf numFmtId="9" fontId="18" fillId="0" borderId="0" xfId="2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3" fillId="7" borderId="0" xfId="0" applyFont="1" applyFill="1"/>
    <xf numFmtId="0" fontId="45" fillId="0" borderId="0" xfId="0" applyFont="1" applyBorder="1" applyAlignment="1">
      <alignment vertical="center"/>
    </xf>
    <xf numFmtId="10" fontId="22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4" fontId="0" fillId="0" borderId="0" xfId="0" applyNumberFormat="1" applyBorder="1"/>
    <xf numFmtId="0" fontId="39" fillId="0" borderId="0" xfId="0" applyFont="1" applyBorder="1" applyAlignment="1">
      <alignment horizontal="center" vertical="center"/>
    </xf>
    <xf numFmtId="165" fontId="44" fillId="0" borderId="0" xfId="0" applyNumberFormat="1" applyFont="1" applyBorder="1" applyAlignment="1">
      <alignment horizontal="center" vertical="center"/>
    </xf>
    <xf numFmtId="165" fontId="43" fillId="0" borderId="0" xfId="0" applyNumberFormat="1" applyFont="1" applyFill="1" applyBorder="1" applyAlignment="1">
      <alignment vertical="center"/>
    </xf>
    <xf numFmtId="9" fontId="41" fillId="0" borderId="1" xfId="0" applyNumberFormat="1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 vertical="center" wrapText="1"/>
    </xf>
    <xf numFmtId="2" fontId="32" fillId="0" borderId="9" xfId="0" applyNumberFormat="1" applyFont="1" applyBorder="1" applyAlignment="1">
      <alignment horizontal="center" vertical="center" wrapText="1"/>
    </xf>
    <xf numFmtId="2" fontId="32" fillId="0" borderId="2" xfId="0" applyNumberFormat="1" applyFont="1" applyBorder="1" applyAlignment="1">
      <alignment horizontal="center"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2" fontId="32" fillId="0" borderId="9" xfId="0" applyNumberFormat="1" applyFont="1" applyFill="1" applyBorder="1" applyAlignment="1">
      <alignment horizontal="center" vertical="center" wrapText="1"/>
    </xf>
    <xf numFmtId="2" fontId="32" fillId="0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2" fontId="22" fillId="0" borderId="9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4" fontId="22" fillId="0" borderId="7" xfId="0" applyNumberFormat="1" applyFont="1" applyFill="1" applyBorder="1" applyAlignment="1">
      <alignment horizontal="center" vertical="center"/>
    </xf>
    <xf numFmtId="4" fontId="22" fillId="0" borderId="4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99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zoomScaleNormal="100" zoomScaleSheetLayoutView="100" workbookViewId="0"/>
  </sheetViews>
  <sheetFormatPr defaultColWidth="9.28515625" defaultRowHeight="15" x14ac:dyDescent="0.25"/>
  <cols>
    <col min="1" max="1" width="35.28515625" style="13" customWidth="1"/>
    <col min="2" max="2" width="10.7109375" style="13" customWidth="1"/>
    <col min="3" max="5" width="20.7109375" style="13" customWidth="1"/>
    <col min="6" max="17" width="15.7109375" style="13" customWidth="1"/>
    <col min="18" max="18" width="9.28515625" style="13"/>
    <col min="19" max="19" width="11.7109375" style="13" bestFit="1" customWidth="1"/>
    <col min="20" max="16384" width="9.28515625" style="3"/>
  </cols>
  <sheetData>
    <row r="1" spans="1:26" s="9" customFormat="1" ht="30" customHeight="1" thickBot="1" x14ac:dyDescent="0.35">
      <c r="A1" s="6" t="s">
        <v>47</v>
      </c>
      <c r="B1" s="7"/>
      <c r="C1" s="7"/>
      <c r="D1" s="7"/>
      <c r="E1" s="7"/>
      <c r="F1" s="7"/>
      <c r="G1" s="7"/>
      <c r="H1" s="7"/>
      <c r="I1" s="7"/>
      <c r="J1" s="271" t="s">
        <v>241</v>
      </c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</row>
    <row r="2" spans="1:26" x14ac:dyDescent="0.25">
      <c r="A2" s="10"/>
      <c r="B2" s="10"/>
      <c r="C2" s="10"/>
      <c r="D2" s="10" t="s">
        <v>242</v>
      </c>
      <c r="E2" s="10"/>
      <c r="F2" s="295" t="s">
        <v>18</v>
      </c>
      <c r="G2" s="296"/>
      <c r="H2" s="296"/>
      <c r="I2" s="296"/>
      <c r="J2" s="296"/>
      <c r="K2" s="296"/>
      <c r="L2" s="296"/>
      <c r="M2" s="296"/>
      <c r="N2" s="297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</row>
    <row r="3" spans="1:26" x14ac:dyDescent="0.25">
      <c r="A3" s="12"/>
      <c r="B3" s="10"/>
      <c r="C3" s="10"/>
      <c r="D3" s="10"/>
      <c r="E3" s="10"/>
      <c r="F3" s="298"/>
      <c r="G3" s="299"/>
      <c r="H3" s="299"/>
      <c r="I3" s="299"/>
      <c r="J3" s="299"/>
      <c r="K3" s="299"/>
      <c r="L3" s="299"/>
      <c r="M3" s="299"/>
      <c r="N3" s="300"/>
      <c r="Z3" s="11"/>
    </row>
    <row r="4" spans="1:26" x14ac:dyDescent="0.25">
      <c r="A4" s="14" t="s">
        <v>211</v>
      </c>
      <c r="B4" s="15"/>
      <c r="C4" s="15"/>
      <c r="D4" s="15"/>
      <c r="E4" s="15"/>
      <c r="F4" s="298"/>
      <c r="G4" s="299"/>
      <c r="H4" s="299"/>
      <c r="I4" s="299"/>
      <c r="J4" s="299"/>
      <c r="K4" s="299"/>
      <c r="L4" s="299"/>
      <c r="M4" s="299"/>
      <c r="N4" s="300"/>
      <c r="Z4" s="16"/>
    </row>
    <row r="5" spans="1:26" x14ac:dyDescent="0.25">
      <c r="A5" s="15"/>
      <c r="B5" s="15"/>
      <c r="C5" s="15"/>
      <c r="D5" s="15"/>
      <c r="E5" s="15"/>
      <c r="F5" s="298"/>
      <c r="G5" s="299"/>
      <c r="H5" s="299"/>
      <c r="I5" s="299"/>
      <c r="J5" s="299"/>
      <c r="K5" s="299"/>
      <c r="L5" s="299"/>
      <c r="M5" s="299"/>
      <c r="N5" s="300"/>
      <c r="Z5" s="11"/>
    </row>
    <row r="6" spans="1:26" x14ac:dyDescent="0.25">
      <c r="A6" s="14" t="s">
        <v>208</v>
      </c>
      <c r="B6" s="15"/>
      <c r="C6" s="15"/>
      <c r="D6" s="15"/>
      <c r="E6" s="15"/>
      <c r="F6" s="298"/>
      <c r="G6" s="299"/>
      <c r="H6" s="299"/>
      <c r="I6" s="299"/>
      <c r="J6" s="299"/>
      <c r="K6" s="299"/>
      <c r="L6" s="299"/>
      <c r="M6" s="299"/>
      <c r="N6" s="300"/>
      <c r="Z6" s="16"/>
    </row>
    <row r="7" spans="1:26" ht="30" customHeight="1" thickBot="1" x14ac:dyDescent="0.3">
      <c r="A7" s="15"/>
      <c r="B7" s="15"/>
      <c r="C7" s="15"/>
      <c r="D7" s="15"/>
      <c r="E7" s="15"/>
      <c r="F7" s="301"/>
      <c r="G7" s="302"/>
      <c r="H7" s="302"/>
      <c r="I7" s="302"/>
      <c r="J7" s="302"/>
      <c r="K7" s="302"/>
      <c r="L7" s="302"/>
      <c r="M7" s="302"/>
      <c r="N7" s="303"/>
      <c r="Z7" s="11"/>
    </row>
    <row r="8" spans="1:26" x14ac:dyDescent="0.25">
      <c r="A8" s="15"/>
      <c r="B8" s="15"/>
      <c r="C8" s="15"/>
      <c r="D8" s="15"/>
      <c r="E8" s="15"/>
      <c r="F8" s="17"/>
      <c r="G8" s="17"/>
      <c r="H8" s="17"/>
      <c r="I8" s="17"/>
      <c r="J8" s="17"/>
      <c r="K8" s="17"/>
      <c r="L8" s="17"/>
      <c r="M8" s="17"/>
      <c r="N8" s="17"/>
      <c r="P8" s="294"/>
      <c r="Z8" s="11"/>
    </row>
    <row r="9" spans="1:26" ht="20.100000000000001" customHeight="1" thickBot="1" x14ac:dyDescent="0.3">
      <c r="A9" s="14" t="s">
        <v>0</v>
      </c>
      <c r="B9" s="15"/>
      <c r="C9" s="15"/>
      <c r="D9" s="15"/>
      <c r="E9" s="15"/>
      <c r="F9" s="17"/>
      <c r="G9" s="17"/>
      <c r="H9" s="17"/>
      <c r="I9" s="17"/>
      <c r="J9" s="17"/>
      <c r="K9" s="17"/>
      <c r="L9" s="17"/>
      <c r="M9" s="17"/>
      <c r="N9" s="17"/>
      <c r="Z9" s="11"/>
    </row>
    <row r="10" spans="1:26" ht="20.100000000000001" customHeight="1" x14ac:dyDescent="0.25">
      <c r="A10" s="304" t="s">
        <v>1</v>
      </c>
      <c r="B10" s="306" t="s">
        <v>34</v>
      </c>
      <c r="C10" s="308" t="s">
        <v>19</v>
      </c>
      <c r="D10" s="310" t="s">
        <v>20</v>
      </c>
      <c r="E10" s="312" t="s">
        <v>21</v>
      </c>
      <c r="F10" s="87"/>
      <c r="G10" s="74"/>
      <c r="H10" s="75"/>
      <c r="I10" s="74"/>
      <c r="J10" s="75" t="s">
        <v>12</v>
      </c>
      <c r="K10" s="74"/>
      <c r="L10" s="74"/>
      <c r="M10" s="74"/>
      <c r="N10" s="75"/>
      <c r="O10" s="75"/>
      <c r="P10" s="75"/>
      <c r="Q10" s="76"/>
      <c r="R10" s="30"/>
      <c r="S10" s="30"/>
      <c r="T10" s="2"/>
      <c r="U10" s="2"/>
      <c r="V10" s="2"/>
      <c r="W10" s="2"/>
      <c r="Z10" s="11"/>
    </row>
    <row r="11" spans="1:26" s="1" customFormat="1" ht="20.100000000000001" customHeight="1" thickBot="1" x14ac:dyDescent="0.3">
      <c r="A11" s="305"/>
      <c r="B11" s="307"/>
      <c r="C11" s="309"/>
      <c r="D11" s="311"/>
      <c r="E11" s="313"/>
      <c r="F11" s="93">
        <v>2019</v>
      </c>
      <c r="G11" s="94">
        <v>2020</v>
      </c>
      <c r="H11" s="94">
        <v>2021</v>
      </c>
      <c r="I11" s="94">
        <v>2022</v>
      </c>
      <c r="J11" s="94">
        <v>2023</v>
      </c>
      <c r="K11" s="94">
        <v>2024</v>
      </c>
      <c r="L11" s="94">
        <v>2025</v>
      </c>
      <c r="M11" s="94">
        <v>2026</v>
      </c>
      <c r="N11" s="94">
        <v>2027</v>
      </c>
      <c r="O11" s="94">
        <v>2028</v>
      </c>
      <c r="P11" s="94">
        <v>2029</v>
      </c>
      <c r="Q11" s="95">
        <v>2030</v>
      </c>
      <c r="R11" s="17"/>
      <c r="S11" s="17"/>
      <c r="T11" s="17"/>
      <c r="U11" s="17"/>
      <c r="V11" s="17"/>
      <c r="W11" s="17"/>
      <c r="X11" s="18"/>
      <c r="Y11" s="18"/>
      <c r="Z11" s="18"/>
    </row>
    <row r="12" spans="1:26" ht="40.15" customHeight="1" thickTop="1" x14ac:dyDescent="0.25">
      <c r="A12" s="96" t="s">
        <v>36</v>
      </c>
      <c r="B12" s="97">
        <f>COUNTA('pow podst'!K3:K13)</f>
        <v>10</v>
      </c>
      <c r="C12" s="98">
        <f>SUM('pow podst'!J3:J13)</f>
        <v>23973193.490000002</v>
      </c>
      <c r="D12" s="99">
        <f>SUM('pow podst'!L3:L13)</f>
        <v>3121329.5799999996</v>
      </c>
      <c r="E12" s="100">
        <f>SUM('pow podst'!K3:K13)</f>
        <v>20851863.91</v>
      </c>
      <c r="F12" s="101">
        <f>SUM('pow podst'!N3:N13)</f>
        <v>0</v>
      </c>
      <c r="G12" s="98">
        <f>SUM('pow podst'!O3:O13)</f>
        <v>0</v>
      </c>
      <c r="H12" s="98">
        <f>SUM('pow podst'!P3:P13)</f>
        <v>0</v>
      </c>
      <c r="I12" s="98">
        <f>SUM('pow podst'!Q3:Q13)</f>
        <v>0</v>
      </c>
      <c r="J12" s="98">
        <f>SUM('pow podst'!R3:R13)</f>
        <v>0</v>
      </c>
      <c r="K12" s="98">
        <f>SUM('pow podst'!S3:S13)</f>
        <v>862380.24</v>
      </c>
      <c r="L12" s="98">
        <f>SUM('pow podst'!T3:T13)</f>
        <v>18984450.669999998</v>
      </c>
      <c r="M12" s="98">
        <f>SUM('pow podst'!U3:U13)</f>
        <v>1005033</v>
      </c>
      <c r="N12" s="98">
        <f>SUM('pow podst'!V3:V13)</f>
        <v>0</v>
      </c>
      <c r="O12" s="98">
        <f>SUM('pow podst'!W3:W13)</f>
        <v>0</v>
      </c>
      <c r="P12" s="98">
        <f>SUM('pow podst'!X3:X13)</f>
        <v>0</v>
      </c>
      <c r="Q12" s="102">
        <f>SUM('pow podst'!Y3:Y13)</f>
        <v>0</v>
      </c>
      <c r="R12" s="19" t="b">
        <f>C12=(D12+E12)</f>
        <v>1</v>
      </c>
      <c r="S12" s="40" t="b">
        <f>E12=SUM(F12:Q12)</f>
        <v>1</v>
      </c>
      <c r="T12" s="20"/>
      <c r="U12" s="20"/>
      <c r="V12" s="21"/>
      <c r="W12" s="21"/>
      <c r="X12" s="22"/>
      <c r="Y12" s="11"/>
      <c r="Z12" s="11"/>
    </row>
    <row r="13" spans="1:26" ht="40.15" customHeight="1" x14ac:dyDescent="0.25">
      <c r="A13" s="103" t="s">
        <v>37</v>
      </c>
      <c r="B13" s="146">
        <f>COUNTIF('pow podst'!C3:C13,"K")</f>
        <v>1</v>
      </c>
      <c r="C13" s="147">
        <f>SUMIF('pow podst'!C3:C13,"K",'pow podst'!J3:J13)</f>
        <v>2869817.78</v>
      </c>
      <c r="D13" s="148">
        <f>SUMIF('pow podst'!C3:C13,"K",'pow podst'!L3:L13)</f>
        <v>573963.55999999959</v>
      </c>
      <c r="E13" s="49">
        <f>SUMIF('pow podst'!C3:C13,"K",'pow podst'!K3:K13)</f>
        <v>2295854.2200000002</v>
      </c>
      <c r="F13" s="155">
        <f>SUMIF('pow podst'!C3:C13,"K",'pow podst'!N3:N13)</f>
        <v>0</v>
      </c>
      <c r="G13" s="147">
        <f>SUMIF('pow podst'!C3:C13,"K",'pow podst'!O3:O13)</f>
        <v>0</v>
      </c>
      <c r="H13" s="147">
        <f>SUMIF('pow podst'!C3:C13,"K",'pow podst'!P3:P13)</f>
        <v>0</v>
      </c>
      <c r="I13" s="147">
        <f>SUMIF('pow podst'!C3:C13,"K",'pow podst'!Q3:Q13)</f>
        <v>0</v>
      </c>
      <c r="J13" s="147">
        <f>SUMIF('pow podst'!C3:C13,"K",'pow podst'!R3:R13)</f>
        <v>0</v>
      </c>
      <c r="K13" s="147">
        <f>SUMIF('pow podst'!C3:C13,"K",'pow podst'!S3:S13)</f>
        <v>862380.24</v>
      </c>
      <c r="L13" s="147">
        <f>SUMIF('pow podst'!C3:C13,"K",'pow podst'!T3:T13)</f>
        <v>1433473.98</v>
      </c>
      <c r="M13" s="147">
        <f>SUMIF('pow podst'!C3:C13,"K",'pow podst'!U3:U13)</f>
        <v>0</v>
      </c>
      <c r="N13" s="147">
        <f>SUMIF('pow podst'!C3:C13,"K",'pow podst'!V3:V13)</f>
        <v>0</v>
      </c>
      <c r="O13" s="147">
        <f>SUMIF('pow podst'!C3:C13,"K",'pow podst'!W3:W13)</f>
        <v>0</v>
      </c>
      <c r="P13" s="147">
        <f>SUMIF('pow podst'!D3:D13,"K",'pow podst'!X3:X13)</f>
        <v>0</v>
      </c>
      <c r="Q13" s="156">
        <f>SUMIF('pow podst'!E3:E13,"K",'pow podst'!Y3:Y13)</f>
        <v>0</v>
      </c>
      <c r="R13" s="19" t="b">
        <f t="shared" ref="R13:R36" si="0">C13=(D13+E13)</f>
        <v>1</v>
      </c>
      <c r="S13" s="40" t="b">
        <f t="shared" ref="S13:S36" si="1">E13=SUM(F13:Q13)</f>
        <v>1</v>
      </c>
      <c r="T13" s="20"/>
      <c r="U13" s="20"/>
      <c r="V13" s="21"/>
      <c r="W13" s="21"/>
      <c r="X13" s="22"/>
      <c r="Y13" s="11"/>
      <c r="Z13" s="11"/>
    </row>
    <row r="14" spans="1:26" ht="40.15" customHeight="1" x14ac:dyDescent="0.25">
      <c r="A14" s="104" t="s">
        <v>38</v>
      </c>
      <c r="B14" s="149">
        <f>COUNTIF('pow podst'!C3:C13,"N")</f>
        <v>7</v>
      </c>
      <c r="C14" s="150">
        <f>SUMIF('pow podst'!C3:C13,"N",'pow podst'!J3:J13)</f>
        <v>12467667.48</v>
      </c>
      <c r="D14" s="151">
        <f>SUMIF('pow podst'!C3:C13,"N",'pow podst'!L3:L13)</f>
        <v>916956.74</v>
      </c>
      <c r="E14" s="48">
        <f>SUMIF('pow podst'!C3:C13,"N",'pow podst'!K3:K13)</f>
        <v>11550710.74</v>
      </c>
      <c r="F14" s="157">
        <f>SUMIF('pow podst'!C3:C13,"N",'pow podst'!N3:N13)</f>
        <v>0</v>
      </c>
      <c r="G14" s="150">
        <f>SUMIF('pow podst'!C3:C13,"N",'pow podst'!O3:O13)</f>
        <v>0</v>
      </c>
      <c r="H14" s="150">
        <f>SUMIF('pow podst'!C3:C13,"N",'pow podst'!P3:P13)</f>
        <v>0</v>
      </c>
      <c r="I14" s="150">
        <f>SUMIF('pow podst'!C3:C13,"N",'pow podst'!Q3:Q13)</f>
        <v>0</v>
      </c>
      <c r="J14" s="150">
        <f>SUMIF('pow podst'!C3:C13,"N",'pow podst'!R3:R13)</f>
        <v>0</v>
      </c>
      <c r="K14" s="150">
        <f>SUMIF('pow podst'!C3:C13,"N",'pow podst'!S3:S13)</f>
        <v>0</v>
      </c>
      <c r="L14" s="150">
        <f>SUMIF('pow podst'!C3:C13,"N",'pow podst'!T3:T13)</f>
        <v>11550710.74</v>
      </c>
      <c r="M14" s="150">
        <f>SUMIF('pow podst'!C3:C13,"N",'pow podst'!U3:U13)</f>
        <v>0</v>
      </c>
      <c r="N14" s="150">
        <f>SUMIF('pow podst'!C3:C13,"N",'pow podst'!V3:V13)</f>
        <v>0</v>
      </c>
      <c r="O14" s="150">
        <f>SUMIF('pow podst'!C3:C13,"N",'pow podst'!W3:W13)</f>
        <v>0</v>
      </c>
      <c r="P14" s="150">
        <f>SUMIF('pow podst'!D3:D13,"N",'pow podst'!X3:X13)</f>
        <v>0</v>
      </c>
      <c r="Q14" s="158">
        <f>SUMIF('pow podst'!E3:E13,"N",'pow podst'!Y3:Y13)</f>
        <v>0</v>
      </c>
      <c r="R14" s="19" t="b">
        <f t="shared" si="0"/>
        <v>1</v>
      </c>
      <c r="S14" s="40" t="b">
        <f t="shared" si="1"/>
        <v>1</v>
      </c>
      <c r="T14" s="20"/>
      <c r="U14" s="20"/>
      <c r="V14" s="21"/>
      <c r="W14" s="21"/>
      <c r="X14" s="22"/>
      <c r="Y14" s="11"/>
      <c r="Z14" s="11"/>
    </row>
    <row r="15" spans="1:26" ht="40.15" customHeight="1" thickBot="1" x14ac:dyDescent="0.3">
      <c r="A15" s="105" t="s">
        <v>39</v>
      </c>
      <c r="B15" s="152">
        <f>COUNTIF('pow podst'!C3:C13,"W")</f>
        <v>2</v>
      </c>
      <c r="C15" s="153">
        <f>SUMIF('pow podst'!C3:C13,"W",'pow podst'!J3:J13)</f>
        <v>8635708.2300000004</v>
      </c>
      <c r="D15" s="154">
        <f>SUMIF('pow podst'!C3:C13,"W",'pow podst'!L3:L13)</f>
        <v>1630409.28</v>
      </c>
      <c r="E15" s="106">
        <f>SUMIF('pow podst'!C3:C13,"W",'pow podst'!K3:K13)</f>
        <v>7005298.9500000002</v>
      </c>
      <c r="F15" s="159">
        <f>SUMIF('pow podst'!C3:C13,"W",'pow podst'!N3:N13)</f>
        <v>0</v>
      </c>
      <c r="G15" s="153">
        <f>SUMIF('pow podst'!C3:C13,"W",'pow podst'!O3:O13)</f>
        <v>0</v>
      </c>
      <c r="H15" s="153">
        <f>SUMIF('pow podst'!C3:C13,"W",'pow podst'!P3:P13)</f>
        <v>0</v>
      </c>
      <c r="I15" s="153">
        <f>SUMIF('pow podst'!C3:C13,"W",'pow podst'!Q3:Q13)</f>
        <v>0</v>
      </c>
      <c r="J15" s="153">
        <f>SUMIF('pow podst'!C3:C13,"W",'pow podst'!R3:R13)</f>
        <v>0</v>
      </c>
      <c r="K15" s="153">
        <f>SUMIF('pow podst'!C3:C13,"W",'pow podst'!S3:S13)</f>
        <v>0</v>
      </c>
      <c r="L15" s="153">
        <f>SUMIF('pow podst'!C3:C13,"W",'pow podst'!T3:T13)</f>
        <v>6000265.9500000002</v>
      </c>
      <c r="M15" s="153">
        <f>SUMIF('pow podst'!C3:C13,"W",'pow podst'!U3:U13)</f>
        <v>1005033</v>
      </c>
      <c r="N15" s="153">
        <f>SUMIF('pow podst'!C3:C13,"W",'pow podst'!V3:V13)</f>
        <v>0</v>
      </c>
      <c r="O15" s="153">
        <f>SUMIF('pow podst'!C3:C13,"W",'pow podst'!W3:W13)</f>
        <v>0</v>
      </c>
      <c r="P15" s="153">
        <f>SUMIF('pow podst'!D3:D13,"W",'pow podst'!X3:X13)</f>
        <v>0</v>
      </c>
      <c r="Q15" s="160">
        <f>SUMIF('pow podst'!E3:E13,"W",'pow podst'!Y3:Y13)</f>
        <v>0</v>
      </c>
      <c r="R15" s="19" t="b">
        <f t="shared" si="0"/>
        <v>1</v>
      </c>
      <c r="S15" s="40" t="b">
        <f t="shared" si="1"/>
        <v>1</v>
      </c>
      <c r="T15" s="20"/>
      <c r="U15" s="20"/>
      <c r="V15" s="21"/>
      <c r="W15" s="21"/>
      <c r="X15" s="22"/>
      <c r="Y15" s="11"/>
      <c r="Z15" s="11"/>
    </row>
    <row r="16" spans="1:26" ht="40.15" customHeight="1" thickTop="1" x14ac:dyDescent="0.25">
      <c r="A16" s="96" t="s">
        <v>40</v>
      </c>
      <c r="B16" s="97">
        <f>COUNTA('gm podst'!L3:L35)</f>
        <v>32</v>
      </c>
      <c r="C16" s="98">
        <f>SUM('gm podst'!K3:K35)</f>
        <v>78532408.649999991</v>
      </c>
      <c r="D16" s="99">
        <f>SUM('gm podst'!M3:M35)</f>
        <v>12155426.369999997</v>
      </c>
      <c r="E16" s="100">
        <f>SUM('gm podst'!L3:L35)</f>
        <v>66376982.280000016</v>
      </c>
      <c r="F16" s="161">
        <f>SUM('gm podst'!O3:O35)</f>
        <v>0</v>
      </c>
      <c r="G16" s="162">
        <f>SUM('gm podst'!P3:P35)</f>
        <v>0</v>
      </c>
      <c r="H16" s="162">
        <f>SUM('gm podst'!Q3:Q35)</f>
        <v>0</v>
      </c>
      <c r="I16" s="162">
        <f>SUM('gm podst'!R3:R35)</f>
        <v>0</v>
      </c>
      <c r="J16" s="162">
        <f>SUM('gm podst'!S3:S35)</f>
        <v>0</v>
      </c>
      <c r="K16" s="162">
        <f>SUM('gm podst'!T3:T35)</f>
        <v>14022501.559999999</v>
      </c>
      <c r="L16" s="162">
        <f>SUM('gm podst'!U3:U35)</f>
        <v>44230846.289999999</v>
      </c>
      <c r="M16" s="162">
        <f>SUM('gm podst'!V3:V35)</f>
        <v>8123634.4300000006</v>
      </c>
      <c r="N16" s="162">
        <f>SUM('gm podst'!W3:W35)</f>
        <v>0</v>
      </c>
      <c r="O16" s="162">
        <f>SUM('gm podst'!X3:X35)</f>
        <v>0</v>
      </c>
      <c r="P16" s="162">
        <f>SUM('gm podst'!Y3:Y35)</f>
        <v>0</v>
      </c>
      <c r="Q16" s="163">
        <f>SUM('gm podst'!Z3:Z35)</f>
        <v>0</v>
      </c>
      <c r="R16" s="19" t="b">
        <f t="shared" si="0"/>
        <v>1</v>
      </c>
      <c r="S16" s="40" t="b">
        <f t="shared" si="1"/>
        <v>1</v>
      </c>
      <c r="T16" s="20"/>
      <c r="U16" s="20"/>
      <c r="V16" s="21"/>
      <c r="W16" s="21"/>
      <c r="X16" s="21"/>
      <c r="Y16" s="21"/>
      <c r="Z16" s="21"/>
    </row>
    <row r="17" spans="1:26" ht="40.15" customHeight="1" x14ac:dyDescent="0.25">
      <c r="A17" s="103" t="s">
        <v>37</v>
      </c>
      <c r="B17" s="146">
        <f>COUNTIF('gm podst'!C3:C35,"K")</f>
        <v>9</v>
      </c>
      <c r="C17" s="147">
        <f>SUMIF('gm podst'!C3:C35,"K",'gm podst'!K3:K35)</f>
        <v>36125612.620000005</v>
      </c>
      <c r="D17" s="148">
        <f>SUMIF('gm podst'!C3:C35,"K",'gm podst'!M3:M35)</f>
        <v>10434415.899999997</v>
      </c>
      <c r="E17" s="49">
        <f>SUMIF('gm podst'!C3:C35,"K",'gm podst'!L3:L35)</f>
        <v>25691196.719999999</v>
      </c>
      <c r="F17" s="155">
        <f>SUMIF('gm podst'!C3:C35,"K",'gm podst'!O3:O35)</f>
        <v>0</v>
      </c>
      <c r="G17" s="147">
        <f>SUMIF('gm podst'!C3:C35,"K",'gm podst'!P3:P35)</f>
        <v>0</v>
      </c>
      <c r="H17" s="147">
        <f>SUMIF('gm podst'!C3:C35,"K",'gm podst'!Q3:Q35)</f>
        <v>0</v>
      </c>
      <c r="I17" s="147">
        <f>SUMIF('gm podst'!C3:C35,"K",'gm podst'!R3:R35)</f>
        <v>0</v>
      </c>
      <c r="J17" s="147">
        <f>SUMIF('gm podst'!C3:C35,"K",'gm podst'!S3:S35)</f>
        <v>0</v>
      </c>
      <c r="K17" s="147">
        <f>SUMIF('gm podst'!C3:C35,"K",'gm podst'!T3:T35)</f>
        <v>14022501.559999999</v>
      </c>
      <c r="L17" s="147">
        <f>SUMIF('gm podst'!C3:C35,"K",'gm podst'!U3:U35)</f>
        <v>9681344.3999999985</v>
      </c>
      <c r="M17" s="147">
        <f>SUMIF('gm podst'!C3:C35,"K",'gm podst'!V3:V35)</f>
        <v>1987350.7600000007</v>
      </c>
      <c r="N17" s="147">
        <f>SUMIF('gm podst'!C3:C35,"K",'gm podst'!W3:W35)</f>
        <v>0</v>
      </c>
      <c r="O17" s="147">
        <f>SUMIF('gm podst'!C3:C35,"K",'gm podst'!X3:X35)</f>
        <v>0</v>
      </c>
      <c r="P17" s="147">
        <f>SUMIF('gm podst'!D3:D35,"K",'gm podst'!Y3:Y35)</f>
        <v>0</v>
      </c>
      <c r="Q17" s="156">
        <f>SUMIF('gm podst'!E3:E35,"K",'gm podst'!Z3:Z35)</f>
        <v>0</v>
      </c>
      <c r="R17" s="19" t="b">
        <f t="shared" si="0"/>
        <v>1</v>
      </c>
      <c r="S17" s="40" t="b">
        <f t="shared" si="1"/>
        <v>1</v>
      </c>
      <c r="T17" s="20"/>
      <c r="U17" s="20"/>
      <c r="V17" s="21"/>
      <c r="W17" s="21"/>
      <c r="X17" s="21"/>
      <c r="Y17" s="21"/>
      <c r="Z17" s="21"/>
    </row>
    <row r="18" spans="1:26" ht="40.15" customHeight="1" x14ac:dyDescent="0.25">
      <c r="A18" s="104" t="s">
        <v>38</v>
      </c>
      <c r="B18" s="149">
        <f>COUNTIF('gm podst'!C3:C35,"N")</f>
        <v>19</v>
      </c>
      <c r="C18" s="150">
        <f>SUMIF('gm podst'!C3:C35,"N",'gm podst'!K3:K35)</f>
        <v>23563931.649999999</v>
      </c>
      <c r="D18" s="151">
        <f>SUMIF('gm podst'!C3:C35,"N",'gm podst'!M3:M35)</f>
        <v>1721010.4700000002</v>
      </c>
      <c r="E18" s="48">
        <f>SUMIF('gm podst'!C3:C35,"N",'gm podst'!L3:L35)</f>
        <v>21842921.18</v>
      </c>
      <c r="F18" s="157">
        <f>SUMIF('gm podst'!C3:C35,"N",'gm podst'!O3:O35)</f>
        <v>0</v>
      </c>
      <c r="G18" s="150">
        <f>SUMIF('gm podst'!C3:C35,"N",'gm podst'!P3:P35)</f>
        <v>0</v>
      </c>
      <c r="H18" s="150">
        <f>SUMIF('gm podst'!C3:C35,"N",'gm podst'!Q3:Q35)</f>
        <v>0</v>
      </c>
      <c r="I18" s="150">
        <f>SUMIF('gm podst'!C3:C35,"N",'gm podst'!R3:R35)</f>
        <v>0</v>
      </c>
      <c r="J18" s="150">
        <f>SUMIF('gm podst'!C3:C35,"N",'gm podst'!S3:S35)</f>
        <v>0</v>
      </c>
      <c r="K18" s="150">
        <f>SUMIF('gm podst'!C3:C35,"N",'gm podst'!T3:T35)</f>
        <v>0</v>
      </c>
      <c r="L18" s="150">
        <f>SUMIF('gm podst'!C3:C35,"N",'gm podst'!U3:U35)</f>
        <v>21842921.18</v>
      </c>
      <c r="M18" s="150">
        <f>SUMIF('gm podst'!C3:C35,"N",'gm podst'!V3:V35)</f>
        <v>0</v>
      </c>
      <c r="N18" s="150">
        <f>SUMIF('gm podst'!C3:C35,"N",'gm podst'!W3:W35)</f>
        <v>0</v>
      </c>
      <c r="O18" s="150">
        <f>SUMIF('gm podst'!C3:C35,"N",'gm podst'!X3:X35)</f>
        <v>0</v>
      </c>
      <c r="P18" s="150">
        <f>SUMIF('gm podst'!D3:D35,"N",'gm podst'!Y3:Y35)</f>
        <v>0</v>
      </c>
      <c r="Q18" s="158">
        <f>SUMIF('gm podst'!E3:E35,"N",'gm podst'!Z3:Z35)</f>
        <v>0</v>
      </c>
      <c r="R18" s="19" t="b">
        <f t="shared" si="0"/>
        <v>1</v>
      </c>
      <c r="S18" s="40" t="b">
        <f t="shared" si="1"/>
        <v>1</v>
      </c>
      <c r="T18" s="20"/>
      <c r="U18" s="20"/>
      <c r="V18" s="21"/>
      <c r="W18" s="21"/>
      <c r="X18" s="21"/>
      <c r="Y18" s="21"/>
      <c r="Z18" s="21"/>
    </row>
    <row r="19" spans="1:26" ht="40.15" customHeight="1" thickBot="1" x14ac:dyDescent="0.3">
      <c r="A19" s="105" t="s">
        <v>39</v>
      </c>
      <c r="B19" s="152">
        <f>COUNTIF('gm podst'!C3:C35,"W")</f>
        <v>4</v>
      </c>
      <c r="C19" s="153">
        <f>SUMIF('gm podst'!C3:C35,"W",'gm podst'!K3:K35)</f>
        <v>18842864.380000003</v>
      </c>
      <c r="D19" s="154">
        <f>SUMIF('gm podst'!C3:C35,"W",'gm podst'!M3:M35)</f>
        <v>0</v>
      </c>
      <c r="E19" s="106">
        <f>SUMIF('gm podst'!C3:C35,"W",'gm podst'!L3:L35)</f>
        <v>18842864.380000003</v>
      </c>
      <c r="F19" s="159">
        <f>SUMIF('gm podst'!C3:C35,"W",'gm podst'!O3:O35)</f>
        <v>0</v>
      </c>
      <c r="G19" s="153">
        <f>SUMIF('gm podst'!C3:C35,"W",'gm podst'!P3:P35)</f>
        <v>0</v>
      </c>
      <c r="H19" s="153">
        <f>SUMIF('gm podst'!C3:C35,"W",'gm podst'!Q3:Q35)</f>
        <v>0</v>
      </c>
      <c r="I19" s="153">
        <f>SUMIF('gm podst'!C3:C35,"W",'gm podst'!R3:R35)</f>
        <v>0</v>
      </c>
      <c r="J19" s="153">
        <f>SUMIF('gm podst'!C3:C35,"W",'gm podst'!S3:S35)</f>
        <v>0</v>
      </c>
      <c r="K19" s="153">
        <f>SUMIF('gm podst'!C3:C35,"W",'gm podst'!T3:T35)</f>
        <v>0</v>
      </c>
      <c r="L19" s="153">
        <f>SUMIF('gm podst'!C3:C35,"W",'gm podst'!U3:U35)</f>
        <v>12706580.710000001</v>
      </c>
      <c r="M19" s="153">
        <f>SUMIF('gm podst'!C3:C35,"W",'gm podst'!V3:V35)</f>
        <v>6136283.6700000009</v>
      </c>
      <c r="N19" s="153">
        <f>SUMIF('gm podst'!C3:C35,"W",'gm podst'!W3:W35)</f>
        <v>0</v>
      </c>
      <c r="O19" s="153">
        <f>SUMIF('gm podst'!C3:C35,"W",'gm podst'!X3:X35)</f>
        <v>0</v>
      </c>
      <c r="P19" s="153">
        <f>SUMIF('gm podst'!D3:D35,"W",'gm podst'!Y3:Y35)</f>
        <v>0</v>
      </c>
      <c r="Q19" s="160">
        <f>SUMIF('gm podst'!E3:E35,"W",'gm podst'!Z3:Z35)</f>
        <v>0</v>
      </c>
      <c r="R19" s="19" t="b">
        <f t="shared" si="0"/>
        <v>1</v>
      </c>
      <c r="S19" s="40" t="b">
        <f t="shared" si="1"/>
        <v>1</v>
      </c>
      <c r="T19" s="20"/>
      <c r="U19" s="20"/>
      <c r="V19" s="21"/>
      <c r="W19" s="21"/>
      <c r="X19" s="21"/>
      <c r="Y19" s="21"/>
      <c r="Z19" s="21"/>
    </row>
    <row r="20" spans="1:26" s="25" customFormat="1" ht="40.15" customHeight="1" thickTop="1" x14ac:dyDescent="0.25">
      <c r="A20" s="107" t="s">
        <v>41</v>
      </c>
      <c r="B20" s="108">
        <f>B12+B16</f>
        <v>42</v>
      </c>
      <c r="C20" s="109">
        <f>C12+C16</f>
        <v>102505602.13999999</v>
      </c>
      <c r="D20" s="110">
        <f t="shared" ref="C20:O22" si="2">D12+D16</f>
        <v>15276755.949999997</v>
      </c>
      <c r="E20" s="111">
        <f t="shared" si="2"/>
        <v>87228846.190000013</v>
      </c>
      <c r="F20" s="112">
        <f t="shared" si="2"/>
        <v>0</v>
      </c>
      <c r="G20" s="109">
        <f t="shared" si="2"/>
        <v>0</v>
      </c>
      <c r="H20" s="109">
        <f t="shared" si="2"/>
        <v>0</v>
      </c>
      <c r="I20" s="109">
        <f t="shared" si="2"/>
        <v>0</v>
      </c>
      <c r="J20" s="109">
        <f t="shared" si="2"/>
        <v>0</v>
      </c>
      <c r="K20" s="109">
        <f t="shared" si="2"/>
        <v>14884881.799999999</v>
      </c>
      <c r="L20" s="109">
        <f>L12+L16</f>
        <v>63215296.959999993</v>
      </c>
      <c r="M20" s="109">
        <f t="shared" si="2"/>
        <v>9128667.4299999997</v>
      </c>
      <c r="N20" s="109">
        <f t="shared" si="2"/>
        <v>0</v>
      </c>
      <c r="O20" s="109">
        <f t="shared" si="2"/>
        <v>0</v>
      </c>
      <c r="P20" s="109">
        <f t="shared" ref="P20:Q20" si="3">P12+P16</f>
        <v>0</v>
      </c>
      <c r="Q20" s="113">
        <f t="shared" si="3"/>
        <v>0</v>
      </c>
      <c r="R20" s="19" t="b">
        <f t="shared" si="0"/>
        <v>1</v>
      </c>
      <c r="S20" s="40" t="b">
        <f t="shared" si="1"/>
        <v>1</v>
      </c>
      <c r="T20" s="23"/>
      <c r="U20" s="23"/>
      <c r="V20" s="24"/>
      <c r="W20" s="24"/>
      <c r="X20" s="24"/>
      <c r="Y20" s="24"/>
      <c r="Z20" s="24"/>
    </row>
    <row r="21" spans="1:26" s="25" customFormat="1" ht="40.15" customHeight="1" x14ac:dyDescent="0.25">
      <c r="A21" s="114" t="s">
        <v>37</v>
      </c>
      <c r="B21" s="78">
        <f>B13+B17</f>
        <v>10</v>
      </c>
      <c r="C21" s="70">
        <f t="shared" si="2"/>
        <v>38995430.400000006</v>
      </c>
      <c r="D21" s="83">
        <f t="shared" si="2"/>
        <v>11008379.459999997</v>
      </c>
      <c r="E21" s="49">
        <f t="shared" si="2"/>
        <v>27987050.939999998</v>
      </c>
      <c r="F21" s="88">
        <f t="shared" si="2"/>
        <v>0</v>
      </c>
      <c r="G21" s="70">
        <f t="shared" si="2"/>
        <v>0</v>
      </c>
      <c r="H21" s="70">
        <f t="shared" si="2"/>
        <v>0</v>
      </c>
      <c r="I21" s="70">
        <f t="shared" si="2"/>
        <v>0</v>
      </c>
      <c r="J21" s="70">
        <f t="shared" si="2"/>
        <v>0</v>
      </c>
      <c r="K21" s="70">
        <f t="shared" si="2"/>
        <v>14884881.799999999</v>
      </c>
      <c r="L21" s="70">
        <f t="shared" si="2"/>
        <v>11114818.379999999</v>
      </c>
      <c r="M21" s="70">
        <f t="shared" si="2"/>
        <v>1987350.7600000007</v>
      </c>
      <c r="N21" s="70">
        <f t="shared" si="2"/>
        <v>0</v>
      </c>
      <c r="O21" s="70">
        <f t="shared" si="2"/>
        <v>0</v>
      </c>
      <c r="P21" s="70">
        <f t="shared" ref="P21:Q21" si="4">P13+P17</f>
        <v>0</v>
      </c>
      <c r="Q21" s="115">
        <f t="shared" si="4"/>
        <v>0</v>
      </c>
      <c r="R21" s="19" t="b">
        <f t="shared" si="0"/>
        <v>1</v>
      </c>
      <c r="S21" s="40" t="b">
        <f>E21=SUM(F21:Q21)</f>
        <v>1</v>
      </c>
      <c r="T21" s="23"/>
      <c r="U21" s="23"/>
      <c r="V21" s="24"/>
      <c r="W21" s="24"/>
      <c r="X21" s="24"/>
      <c r="Y21" s="24"/>
      <c r="Z21" s="24"/>
    </row>
    <row r="22" spans="1:26" s="25" customFormat="1" ht="40.15" customHeight="1" x14ac:dyDescent="0.25">
      <c r="A22" s="116" t="s">
        <v>38</v>
      </c>
      <c r="B22" s="79">
        <f>B14+B18</f>
        <v>26</v>
      </c>
      <c r="C22" s="73">
        <f t="shared" si="2"/>
        <v>36031599.129999995</v>
      </c>
      <c r="D22" s="84">
        <f t="shared" si="2"/>
        <v>2637967.21</v>
      </c>
      <c r="E22" s="48">
        <f t="shared" si="2"/>
        <v>33393631.920000002</v>
      </c>
      <c r="F22" s="89">
        <f t="shared" si="2"/>
        <v>0</v>
      </c>
      <c r="G22" s="73">
        <f t="shared" si="2"/>
        <v>0</v>
      </c>
      <c r="H22" s="73">
        <f t="shared" si="2"/>
        <v>0</v>
      </c>
      <c r="I22" s="73">
        <f t="shared" si="2"/>
        <v>0</v>
      </c>
      <c r="J22" s="73">
        <f t="shared" si="2"/>
        <v>0</v>
      </c>
      <c r="K22" s="73">
        <f t="shared" si="2"/>
        <v>0</v>
      </c>
      <c r="L22" s="73">
        <f t="shared" si="2"/>
        <v>33393631.920000002</v>
      </c>
      <c r="M22" s="73">
        <f t="shared" si="2"/>
        <v>0</v>
      </c>
      <c r="N22" s="73">
        <f t="shared" si="2"/>
        <v>0</v>
      </c>
      <c r="O22" s="73">
        <f t="shared" si="2"/>
        <v>0</v>
      </c>
      <c r="P22" s="73">
        <f t="shared" ref="P22:Q22" si="5">P14+P18</f>
        <v>0</v>
      </c>
      <c r="Q22" s="117">
        <f t="shared" si="5"/>
        <v>0</v>
      </c>
      <c r="R22" s="19" t="b">
        <f t="shared" si="0"/>
        <v>1</v>
      </c>
      <c r="S22" s="40" t="b">
        <f t="shared" si="1"/>
        <v>1</v>
      </c>
      <c r="T22" s="23"/>
      <c r="U22" s="23"/>
      <c r="V22" s="24"/>
      <c r="W22" s="24"/>
      <c r="X22" s="24"/>
      <c r="Y22" s="24"/>
      <c r="Z22" s="24"/>
    </row>
    <row r="23" spans="1:26" s="25" customFormat="1" ht="40.15" customHeight="1" thickBot="1" x14ac:dyDescent="0.3">
      <c r="A23" s="118" t="s">
        <v>39</v>
      </c>
      <c r="B23" s="119">
        <f>B15+B19</f>
        <v>6</v>
      </c>
      <c r="C23" s="120">
        <f t="shared" ref="C23:O23" si="6">C15+C19</f>
        <v>27478572.610000003</v>
      </c>
      <c r="D23" s="121">
        <f t="shared" si="6"/>
        <v>1630409.28</v>
      </c>
      <c r="E23" s="106">
        <f t="shared" si="6"/>
        <v>25848163.330000002</v>
      </c>
      <c r="F23" s="122">
        <f t="shared" si="6"/>
        <v>0</v>
      </c>
      <c r="G23" s="120">
        <f t="shared" si="6"/>
        <v>0</v>
      </c>
      <c r="H23" s="120">
        <f t="shared" si="6"/>
        <v>0</v>
      </c>
      <c r="I23" s="120">
        <f t="shared" si="6"/>
        <v>0</v>
      </c>
      <c r="J23" s="120">
        <f t="shared" si="6"/>
        <v>0</v>
      </c>
      <c r="K23" s="120">
        <f t="shared" si="6"/>
        <v>0</v>
      </c>
      <c r="L23" s="120">
        <f t="shared" si="6"/>
        <v>18706846.66</v>
      </c>
      <c r="M23" s="120">
        <f t="shared" si="6"/>
        <v>7141316.6700000009</v>
      </c>
      <c r="N23" s="120">
        <f t="shared" si="6"/>
        <v>0</v>
      </c>
      <c r="O23" s="120">
        <f t="shared" si="6"/>
        <v>0</v>
      </c>
      <c r="P23" s="120">
        <f t="shared" ref="P23:Q23" si="7">P15+P19</f>
        <v>0</v>
      </c>
      <c r="Q23" s="123">
        <f t="shared" si="7"/>
        <v>0</v>
      </c>
      <c r="R23" s="19" t="b">
        <f t="shared" si="0"/>
        <v>1</v>
      </c>
      <c r="S23" s="40" t="b">
        <f t="shared" si="1"/>
        <v>1</v>
      </c>
      <c r="T23" s="23"/>
      <c r="U23" s="23"/>
      <c r="V23" s="24"/>
      <c r="W23" s="24"/>
      <c r="X23" s="24"/>
      <c r="Y23" s="24"/>
      <c r="Z23" s="24"/>
    </row>
    <row r="24" spans="1:26" ht="40.15" customHeight="1" thickTop="1" x14ac:dyDescent="0.25">
      <c r="A24" s="96" t="s">
        <v>2</v>
      </c>
      <c r="B24" s="97">
        <f>COUNTA('pow rez'!K3:K4)</f>
        <v>0</v>
      </c>
      <c r="C24" s="98">
        <f>SUM('pow rez'!J3:J4)</f>
        <v>0</v>
      </c>
      <c r="D24" s="99">
        <f>SUM('pow rez'!L3:L4)</f>
        <v>0</v>
      </c>
      <c r="E24" s="100">
        <f>SUM('pow rez'!K3:K4)</f>
        <v>0</v>
      </c>
      <c r="F24" s="101">
        <f>SUM('pow rez'!N3:N4)</f>
        <v>0</v>
      </c>
      <c r="G24" s="98">
        <f>SUM('pow rez'!O3:O4)</f>
        <v>0</v>
      </c>
      <c r="H24" s="98">
        <f>SUM('pow rez'!P3:P4)</f>
        <v>0</v>
      </c>
      <c r="I24" s="98">
        <f>SUM('pow rez'!Q3:Q4)</f>
        <v>0</v>
      </c>
      <c r="J24" s="98">
        <f>SUM('pow rez'!R3:R4)</f>
        <v>0</v>
      </c>
      <c r="K24" s="98">
        <f>SUM('pow rez'!S3:S4)</f>
        <v>0</v>
      </c>
      <c r="L24" s="98">
        <f>SUM('pow rez'!T3:T4)</f>
        <v>0</v>
      </c>
      <c r="M24" s="98">
        <f>SUM('pow rez'!U3:U4)</f>
        <v>0</v>
      </c>
      <c r="N24" s="98">
        <f>SUM('pow rez'!V3:V4)</f>
        <v>0</v>
      </c>
      <c r="O24" s="98">
        <f>SUM('pow rez'!W3:W4)</f>
        <v>0</v>
      </c>
      <c r="P24" s="98">
        <f>SUM('pow rez'!X3:X4)</f>
        <v>0</v>
      </c>
      <c r="Q24" s="102">
        <f>SUM('pow rez'!Y3:Y4)</f>
        <v>0</v>
      </c>
      <c r="R24" s="19" t="b">
        <f t="shared" si="0"/>
        <v>1</v>
      </c>
      <c r="S24" s="40" t="b">
        <f t="shared" si="1"/>
        <v>1</v>
      </c>
      <c r="T24" s="20"/>
      <c r="U24" s="20"/>
      <c r="V24" s="21"/>
      <c r="W24" s="21"/>
      <c r="X24" s="21"/>
      <c r="Y24" s="21"/>
      <c r="Z24" s="21"/>
    </row>
    <row r="25" spans="1:26" ht="40.15" customHeight="1" x14ac:dyDescent="0.25">
      <c r="A25" s="104" t="s">
        <v>38</v>
      </c>
      <c r="B25" s="149">
        <f>COUNTIF('pow rez'!C3:C4,"N")</f>
        <v>0</v>
      </c>
      <c r="C25" s="150">
        <f>SUMIF('pow rez'!C3:C4,"N",'pow rez'!J3:J4)</f>
        <v>0</v>
      </c>
      <c r="D25" s="151">
        <f>SUMIF('pow rez'!C3:C4,"N",'pow rez'!L3:L4)</f>
        <v>0</v>
      </c>
      <c r="E25" s="48">
        <f>SUMIF('pow rez'!C3:C4,"N",'pow rez'!K3:K4)</f>
        <v>0</v>
      </c>
      <c r="F25" s="157">
        <f>SUMIF('pow rez'!C3:C4,"N",'pow rez'!N3:N4)</f>
        <v>0</v>
      </c>
      <c r="G25" s="150">
        <f>SUMIF('pow rez'!C3:C4,"N",'pow rez'!O3:O4)</f>
        <v>0</v>
      </c>
      <c r="H25" s="150">
        <f>SUMIF('pow rez'!C3:C4,"N",'pow rez'!P3:P4)</f>
        <v>0</v>
      </c>
      <c r="I25" s="150">
        <f>SUMIF('pow rez'!C3:C4,"N",'pow rez'!Q3:Q4)</f>
        <v>0</v>
      </c>
      <c r="J25" s="150">
        <f>SUMIF('pow rez'!C3:C4,"N",'pow rez'!R3:R4)</f>
        <v>0</v>
      </c>
      <c r="K25" s="150">
        <f>SUMIF('pow rez'!C3:C4,"N",'pow rez'!S3:S4)</f>
        <v>0</v>
      </c>
      <c r="L25" s="150">
        <f>SUMIF('pow rez'!C3:C4,"N",'pow rez'!T3:T4)</f>
        <v>0</v>
      </c>
      <c r="M25" s="150">
        <f>SUMIF('pow rez'!C3:C4,"N",'pow rez'!U3:U4)</f>
        <v>0</v>
      </c>
      <c r="N25" s="150">
        <f>SUMIF('pow rez'!C3:C4,"N",'pow rez'!V3:V4)</f>
        <v>0</v>
      </c>
      <c r="O25" s="150">
        <f>SUMIF('pow rez'!C3:C4,"N",'pow rez'!W3:W4)</f>
        <v>0</v>
      </c>
      <c r="P25" s="150">
        <f>SUMIF('pow rez'!D3:D4,"N",'pow rez'!X3:X4)</f>
        <v>0</v>
      </c>
      <c r="Q25" s="158">
        <f>SUMIF('pow rez'!E3:E4,"N",'pow rez'!Y3:Y4)</f>
        <v>0</v>
      </c>
      <c r="R25" s="19" t="b">
        <f t="shared" si="0"/>
        <v>1</v>
      </c>
      <c r="S25" s="40" t="b">
        <f t="shared" si="1"/>
        <v>1</v>
      </c>
      <c r="T25" s="20"/>
      <c r="U25" s="20"/>
      <c r="V25" s="21"/>
      <c r="W25" s="21"/>
      <c r="X25" s="21"/>
      <c r="Y25" s="21"/>
      <c r="Z25" s="21"/>
    </row>
    <row r="26" spans="1:26" ht="40.15" customHeight="1" thickBot="1" x14ac:dyDescent="0.3">
      <c r="A26" s="105" t="s">
        <v>39</v>
      </c>
      <c r="B26" s="152">
        <f>COUNTIF('pow rez'!C3:C4,"W")</f>
        <v>0</v>
      </c>
      <c r="C26" s="153">
        <f>SUMIF('pow rez'!C3:C4,"W",'pow rez'!J3:J4)</f>
        <v>0</v>
      </c>
      <c r="D26" s="154">
        <f>SUMIF('pow rez'!C3:C4,"W",'pow rez'!L3:L4)</f>
        <v>0</v>
      </c>
      <c r="E26" s="106">
        <f>SUMIF('pow rez'!C3:C4,"W",'pow rez'!K3:K4)</f>
        <v>0</v>
      </c>
      <c r="F26" s="159">
        <f>SUMIF('pow rez'!C3:C4,"W",'pow rez'!N3:N4)</f>
        <v>0</v>
      </c>
      <c r="G26" s="153">
        <f>SUMIF('pow rez'!C3:C4,"W",'pow rez'!O3:O4)</f>
        <v>0</v>
      </c>
      <c r="H26" s="153">
        <f>SUMIF('pow rez'!C3:C4,"W",'pow rez'!P3:P4)</f>
        <v>0</v>
      </c>
      <c r="I26" s="153">
        <f>SUMIF('pow rez'!C3:C4,"W",'pow rez'!Q3:Q4)</f>
        <v>0</v>
      </c>
      <c r="J26" s="153">
        <f>SUMIF('pow rez'!C3:C4,"W",'pow rez'!R3:R4)</f>
        <v>0</v>
      </c>
      <c r="K26" s="153">
        <f>SUMIF('pow rez'!C3:C4,"W",'pow rez'!S3:S4)</f>
        <v>0</v>
      </c>
      <c r="L26" s="153">
        <f>SUMIF('pow rez'!C3:C4,"W",'pow rez'!T3:T4)</f>
        <v>0</v>
      </c>
      <c r="M26" s="153">
        <f>SUMIF('pow rez'!C3:C4,"W",'pow rez'!U3:U4)</f>
        <v>0</v>
      </c>
      <c r="N26" s="153">
        <f>SUMIF('pow rez'!C3:C4,"W",'pow rez'!V3:V4)</f>
        <v>0</v>
      </c>
      <c r="O26" s="153">
        <f>SUMIF('pow rez'!C3:C4,"W",'pow rez'!W3:W4)</f>
        <v>0</v>
      </c>
      <c r="P26" s="153">
        <f>SUMIF('pow rez'!D3:D4,"W",'pow rez'!X3:X4)</f>
        <v>0</v>
      </c>
      <c r="Q26" s="160">
        <f>SUMIF('pow rez'!E3:E4,"W",'pow rez'!Y3:Y4)</f>
        <v>0</v>
      </c>
      <c r="R26" s="19" t="b">
        <f t="shared" si="0"/>
        <v>1</v>
      </c>
      <c r="S26" s="40" t="b">
        <f t="shared" si="1"/>
        <v>1</v>
      </c>
      <c r="T26" s="20"/>
      <c r="U26" s="20"/>
      <c r="V26" s="21"/>
      <c r="W26" s="21"/>
      <c r="X26" s="21"/>
      <c r="Y26" s="21"/>
      <c r="Z26" s="21"/>
    </row>
    <row r="27" spans="1:26" ht="40.15" customHeight="1" thickTop="1" x14ac:dyDescent="0.25">
      <c r="A27" s="96" t="s">
        <v>3</v>
      </c>
      <c r="B27" s="97">
        <f>COUNTA('gm rez'!L3:L14)</f>
        <v>0</v>
      </c>
      <c r="C27" s="98">
        <f>SUM('gm rez'!K3:K14)</f>
        <v>0</v>
      </c>
      <c r="D27" s="99">
        <f>SUM('gm rez'!M3:M14)</f>
        <v>0</v>
      </c>
      <c r="E27" s="100">
        <f>SUM('gm rez'!L3:L14)</f>
        <v>0</v>
      </c>
      <c r="F27" s="101">
        <f>SUM('gm rez'!O3:O14)</f>
        <v>0</v>
      </c>
      <c r="G27" s="98">
        <f>SUM('gm rez'!P3:P14)</f>
        <v>0</v>
      </c>
      <c r="H27" s="98">
        <f>SUM('gm rez'!Q3:Q14)</f>
        <v>0</v>
      </c>
      <c r="I27" s="98">
        <f>SUM('gm rez'!R3:R14)</f>
        <v>0</v>
      </c>
      <c r="J27" s="98">
        <f>SUM('gm rez'!S3:S14)</f>
        <v>0</v>
      </c>
      <c r="K27" s="98">
        <f>SUM('gm rez'!T3:T14)</f>
        <v>0</v>
      </c>
      <c r="L27" s="98">
        <f>SUM('gm rez'!U3:U14)</f>
        <v>0</v>
      </c>
      <c r="M27" s="98">
        <f>SUM('gm rez'!V3:V14)</f>
        <v>0</v>
      </c>
      <c r="N27" s="98">
        <f>SUM('gm rez'!W3:W14)</f>
        <v>0</v>
      </c>
      <c r="O27" s="98">
        <f>SUM('gm rez'!X3:X14)</f>
        <v>0</v>
      </c>
      <c r="P27" s="98">
        <f>SUM('gm rez'!Y3:Y14)</f>
        <v>0</v>
      </c>
      <c r="Q27" s="102">
        <f>SUM('gm rez'!Z3:Z14)</f>
        <v>0</v>
      </c>
      <c r="R27" s="19" t="b">
        <f t="shared" si="0"/>
        <v>1</v>
      </c>
      <c r="S27" s="40" t="b">
        <f t="shared" si="1"/>
        <v>1</v>
      </c>
      <c r="T27" s="26"/>
      <c r="U27" s="26"/>
      <c r="V27" s="27"/>
      <c r="W27" s="27"/>
      <c r="X27" s="22"/>
      <c r="Y27" s="11"/>
      <c r="Z27" s="11"/>
    </row>
    <row r="28" spans="1:26" ht="40.15" customHeight="1" x14ac:dyDescent="0.25">
      <c r="A28" s="104" t="s">
        <v>38</v>
      </c>
      <c r="B28" s="149">
        <f>COUNTIF('gm rez'!C3:C14,"N")</f>
        <v>0</v>
      </c>
      <c r="C28" s="150">
        <f>SUMIF('gm rez'!C3:C14,"N",'gm rez'!K3:K14)</f>
        <v>0</v>
      </c>
      <c r="D28" s="151">
        <f>SUMIF('gm rez'!C3:C14,"N",'gm rez'!M3:M14)</f>
        <v>0</v>
      </c>
      <c r="E28" s="48">
        <f>SUMIF('gm rez'!C3:C14,"N",'gm rez'!L3:L14)</f>
        <v>0</v>
      </c>
      <c r="F28" s="157">
        <f>SUMIF('gm rez'!C3:C14,"N",'gm rez'!O3:O14)</f>
        <v>0</v>
      </c>
      <c r="G28" s="150">
        <f>SUMIF('gm rez'!C3:C14,"N",'gm rez'!P3:P14)</f>
        <v>0</v>
      </c>
      <c r="H28" s="150">
        <f>SUMIF('gm rez'!C3:C14,"N",'gm rez'!Q3:Q14)</f>
        <v>0</v>
      </c>
      <c r="I28" s="150">
        <f>SUMIF('gm rez'!C3:C14,"N",'gm rez'!R3:R14)</f>
        <v>0</v>
      </c>
      <c r="J28" s="150">
        <f>SUMIF('gm rez'!C3:C14,"N",'gm rez'!S3:S14)</f>
        <v>0</v>
      </c>
      <c r="K28" s="150">
        <f>SUMIF('gm rez'!C3:C14,"N",'gm rez'!T3:T14)</f>
        <v>0</v>
      </c>
      <c r="L28" s="150">
        <f>SUMIF('gm rez'!C3:C14,"N",'gm rez'!U3:U14)</f>
        <v>0</v>
      </c>
      <c r="M28" s="150">
        <f>SUMIF('gm rez'!C3:C14,"N",'gm rez'!V3:V14)</f>
        <v>0</v>
      </c>
      <c r="N28" s="150">
        <f>SUMIF('gm rez'!C3:C14,"N",'gm rez'!W3:W14)</f>
        <v>0</v>
      </c>
      <c r="O28" s="150">
        <f>SUMIF('gm rez'!C3:C14,"N",'gm rez'!X3:X14)</f>
        <v>0</v>
      </c>
      <c r="P28" s="150">
        <f>SUMIF('gm rez'!D3:D14,"N",'gm rez'!Y3:Y14)</f>
        <v>0</v>
      </c>
      <c r="Q28" s="158">
        <f>SUMIF('gm rez'!E3:E14,"N",'gm rez'!Z3:Z14)</f>
        <v>0</v>
      </c>
      <c r="R28" s="19" t="b">
        <f t="shared" si="0"/>
        <v>1</v>
      </c>
      <c r="S28" s="40" t="b">
        <f t="shared" si="1"/>
        <v>1</v>
      </c>
      <c r="T28" s="26"/>
      <c r="U28" s="26"/>
      <c r="V28" s="27"/>
      <c r="W28" s="27"/>
      <c r="X28" s="22"/>
      <c r="Y28" s="11"/>
      <c r="Z28" s="11"/>
    </row>
    <row r="29" spans="1:26" ht="40.15" customHeight="1" thickBot="1" x14ac:dyDescent="0.3">
      <c r="A29" s="105" t="s">
        <v>39</v>
      </c>
      <c r="B29" s="152">
        <f>COUNTIF('gm rez'!C3:C14,"W")</f>
        <v>0</v>
      </c>
      <c r="C29" s="153">
        <f>SUMIF('gm rez'!C3:C14,"W",'gm rez'!K3:K14)</f>
        <v>0</v>
      </c>
      <c r="D29" s="154">
        <f>SUMIF('gm rez'!C3:C14,"W",'gm rez'!M3:M14)</f>
        <v>0</v>
      </c>
      <c r="E29" s="106">
        <f>SUMIF('gm rez'!C3:C14,"W",'gm rez'!L3:L14)</f>
        <v>0</v>
      </c>
      <c r="F29" s="159">
        <f>SUMIF('gm rez'!C3:C14,"W",'gm rez'!O3:O14)</f>
        <v>0</v>
      </c>
      <c r="G29" s="153">
        <f>SUMIF('gm rez'!C3:C14,"W",'gm rez'!P3:P14)</f>
        <v>0</v>
      </c>
      <c r="H29" s="153">
        <f>SUMIF('gm rez'!C3:C14,"W",'gm rez'!Q3:Q14)</f>
        <v>0</v>
      </c>
      <c r="I29" s="153">
        <f>SUMIF('gm rez'!C3:C14,"W",'gm rez'!R3:R14)</f>
        <v>0</v>
      </c>
      <c r="J29" s="153">
        <f>SUMIF('gm rez'!C3:C14,"W",'gm rez'!S3:S14)</f>
        <v>0</v>
      </c>
      <c r="K29" s="153">
        <f>SUMIF('gm rez'!C3:C14,"W",'gm rez'!T3:T14)</f>
        <v>0</v>
      </c>
      <c r="L29" s="153">
        <f>SUMIF('gm rez'!C3:C14,"W",'gm rez'!U3:U14)</f>
        <v>0</v>
      </c>
      <c r="M29" s="153">
        <f>SUMIF('gm rez'!C3:C14,"W",'gm rez'!V3:V14)</f>
        <v>0</v>
      </c>
      <c r="N29" s="153">
        <f>SUMIF('gm rez'!C3:C14,"W",'gm rez'!W3:W14)</f>
        <v>0</v>
      </c>
      <c r="O29" s="153">
        <f>SUMIF('gm rez'!C3:C14,"W",'gm rez'!X3:X14)</f>
        <v>0</v>
      </c>
      <c r="P29" s="153">
        <f>SUMIF('gm rez'!D3:D14,"W",'gm rez'!Y3:Y14)</f>
        <v>0</v>
      </c>
      <c r="Q29" s="160">
        <f>SUMIF('gm rez'!E3:E14,"W",'gm rez'!Z3:Z14)</f>
        <v>0</v>
      </c>
      <c r="R29" s="19" t="b">
        <f t="shared" si="0"/>
        <v>1</v>
      </c>
      <c r="S29" s="40" t="b">
        <f t="shared" si="1"/>
        <v>1</v>
      </c>
      <c r="T29" s="26"/>
      <c r="U29" s="26"/>
      <c r="V29" s="27"/>
      <c r="W29" s="27"/>
      <c r="X29" s="22"/>
      <c r="Y29" s="11"/>
      <c r="Z29" s="11"/>
    </row>
    <row r="30" spans="1:26" ht="40.15" customHeight="1" thickTop="1" x14ac:dyDescent="0.25">
      <c r="A30" s="171" t="s">
        <v>22</v>
      </c>
      <c r="B30" s="172">
        <f>B24+B27</f>
        <v>0</v>
      </c>
      <c r="C30" s="173">
        <f t="shared" ref="C30:O30" si="8">C24+C27</f>
        <v>0</v>
      </c>
      <c r="D30" s="174">
        <f t="shared" si="8"/>
        <v>0</v>
      </c>
      <c r="E30" s="175">
        <f t="shared" si="8"/>
        <v>0</v>
      </c>
      <c r="F30" s="176">
        <f t="shared" si="8"/>
        <v>0</v>
      </c>
      <c r="G30" s="173">
        <f t="shared" si="8"/>
        <v>0</v>
      </c>
      <c r="H30" s="173">
        <f t="shared" si="8"/>
        <v>0</v>
      </c>
      <c r="I30" s="173">
        <f t="shared" si="8"/>
        <v>0</v>
      </c>
      <c r="J30" s="173">
        <f t="shared" si="8"/>
        <v>0</v>
      </c>
      <c r="K30" s="173">
        <f t="shared" si="8"/>
        <v>0</v>
      </c>
      <c r="L30" s="173">
        <f t="shared" si="8"/>
        <v>0</v>
      </c>
      <c r="M30" s="173">
        <f t="shared" si="8"/>
        <v>0</v>
      </c>
      <c r="N30" s="173">
        <f t="shared" si="8"/>
        <v>0</v>
      </c>
      <c r="O30" s="173">
        <f t="shared" si="8"/>
        <v>0</v>
      </c>
      <c r="P30" s="173">
        <f t="shared" ref="P30:Q30" si="9">P24+P27</f>
        <v>0</v>
      </c>
      <c r="Q30" s="177">
        <f t="shared" si="9"/>
        <v>0</v>
      </c>
      <c r="R30" s="19" t="b">
        <f t="shared" si="0"/>
        <v>1</v>
      </c>
      <c r="S30" s="40" t="b">
        <f t="shared" si="1"/>
        <v>1</v>
      </c>
      <c r="T30" s="28"/>
      <c r="U30" s="28"/>
      <c r="V30" s="2"/>
      <c r="W30" s="2"/>
    </row>
    <row r="31" spans="1:26" ht="40.15" customHeight="1" x14ac:dyDescent="0.25">
      <c r="A31" s="82" t="s">
        <v>38</v>
      </c>
      <c r="B31" s="80">
        <f t="shared" ref="B31:O31" si="10">B25+B28</f>
        <v>0</v>
      </c>
      <c r="C31" s="71">
        <f t="shared" si="10"/>
        <v>0</v>
      </c>
      <c r="D31" s="85">
        <f t="shared" si="10"/>
        <v>0</v>
      </c>
      <c r="E31" s="48">
        <f t="shared" si="10"/>
        <v>0</v>
      </c>
      <c r="F31" s="90">
        <f t="shared" si="10"/>
        <v>0</v>
      </c>
      <c r="G31" s="71">
        <f t="shared" si="10"/>
        <v>0</v>
      </c>
      <c r="H31" s="71">
        <f t="shared" si="10"/>
        <v>0</v>
      </c>
      <c r="I31" s="71">
        <f t="shared" si="10"/>
        <v>0</v>
      </c>
      <c r="J31" s="71">
        <f t="shared" si="10"/>
        <v>0</v>
      </c>
      <c r="K31" s="71">
        <f t="shared" si="10"/>
        <v>0</v>
      </c>
      <c r="L31" s="71">
        <f t="shared" si="10"/>
        <v>0</v>
      </c>
      <c r="M31" s="71">
        <f t="shared" si="10"/>
        <v>0</v>
      </c>
      <c r="N31" s="71">
        <f t="shared" si="10"/>
        <v>0</v>
      </c>
      <c r="O31" s="71">
        <f t="shared" si="10"/>
        <v>0</v>
      </c>
      <c r="P31" s="71">
        <f t="shared" ref="P31:Q31" si="11">P25+P28</f>
        <v>0</v>
      </c>
      <c r="Q31" s="77">
        <f t="shared" si="11"/>
        <v>0</v>
      </c>
      <c r="R31" s="19" t="b">
        <f t="shared" si="0"/>
        <v>1</v>
      </c>
      <c r="S31" s="40" t="b">
        <f t="shared" si="1"/>
        <v>1</v>
      </c>
      <c r="T31" s="28"/>
      <c r="U31" s="28"/>
      <c r="V31" s="2"/>
      <c r="W31" s="2"/>
    </row>
    <row r="32" spans="1:26" ht="40.15" customHeight="1" thickBot="1" x14ac:dyDescent="0.3">
      <c r="A32" s="124" t="s">
        <v>39</v>
      </c>
      <c r="B32" s="125">
        <f t="shared" ref="B32:O32" si="12">B26+B29</f>
        <v>0</v>
      </c>
      <c r="C32" s="126">
        <f t="shared" si="12"/>
        <v>0</v>
      </c>
      <c r="D32" s="127">
        <f t="shared" si="12"/>
        <v>0</v>
      </c>
      <c r="E32" s="128">
        <f t="shared" si="12"/>
        <v>0</v>
      </c>
      <c r="F32" s="129">
        <f t="shared" si="12"/>
        <v>0</v>
      </c>
      <c r="G32" s="126">
        <f t="shared" si="12"/>
        <v>0</v>
      </c>
      <c r="H32" s="126">
        <f t="shared" si="12"/>
        <v>0</v>
      </c>
      <c r="I32" s="126">
        <f t="shared" si="12"/>
        <v>0</v>
      </c>
      <c r="J32" s="126">
        <f t="shared" si="12"/>
        <v>0</v>
      </c>
      <c r="K32" s="126">
        <f t="shared" si="12"/>
        <v>0</v>
      </c>
      <c r="L32" s="126">
        <f t="shared" si="12"/>
        <v>0</v>
      </c>
      <c r="M32" s="126">
        <f t="shared" si="12"/>
        <v>0</v>
      </c>
      <c r="N32" s="126">
        <f t="shared" si="12"/>
        <v>0</v>
      </c>
      <c r="O32" s="126">
        <f t="shared" si="12"/>
        <v>0</v>
      </c>
      <c r="P32" s="126">
        <f t="shared" ref="P32:Q32" si="13">P26+P29</f>
        <v>0</v>
      </c>
      <c r="Q32" s="130">
        <f t="shared" si="13"/>
        <v>0</v>
      </c>
      <c r="R32" s="19" t="b">
        <f t="shared" si="0"/>
        <v>1</v>
      </c>
      <c r="S32" s="40" t="b">
        <f t="shared" si="1"/>
        <v>1</v>
      </c>
      <c r="T32" s="28"/>
      <c r="U32" s="28"/>
      <c r="V32" s="2"/>
      <c r="W32" s="2"/>
    </row>
    <row r="33" spans="1:23" ht="40.15" customHeight="1" thickTop="1" x14ac:dyDescent="0.25">
      <c r="A33" s="131" t="s">
        <v>33</v>
      </c>
      <c r="B33" s="132">
        <f>B20+B30</f>
        <v>42</v>
      </c>
      <c r="C33" s="133">
        <f t="shared" ref="C33:O33" si="14">C20+C30</f>
        <v>102505602.13999999</v>
      </c>
      <c r="D33" s="134">
        <f t="shared" si="14"/>
        <v>15276755.949999997</v>
      </c>
      <c r="E33" s="135">
        <f t="shared" si="14"/>
        <v>87228846.190000013</v>
      </c>
      <c r="F33" s="136">
        <f t="shared" si="14"/>
        <v>0</v>
      </c>
      <c r="G33" s="133">
        <f t="shared" si="14"/>
        <v>0</v>
      </c>
      <c r="H33" s="133">
        <f t="shared" si="14"/>
        <v>0</v>
      </c>
      <c r="I33" s="133">
        <f t="shared" si="14"/>
        <v>0</v>
      </c>
      <c r="J33" s="133">
        <f t="shared" si="14"/>
        <v>0</v>
      </c>
      <c r="K33" s="133">
        <f t="shared" si="14"/>
        <v>14884881.799999999</v>
      </c>
      <c r="L33" s="133">
        <f t="shared" si="14"/>
        <v>63215296.959999993</v>
      </c>
      <c r="M33" s="133">
        <f t="shared" si="14"/>
        <v>9128667.4299999997</v>
      </c>
      <c r="N33" s="133">
        <f t="shared" si="14"/>
        <v>0</v>
      </c>
      <c r="O33" s="133">
        <f t="shared" si="14"/>
        <v>0</v>
      </c>
      <c r="P33" s="133">
        <f t="shared" ref="P33:Q33" si="15">P20+P30</f>
        <v>0</v>
      </c>
      <c r="Q33" s="137">
        <f t="shared" si="15"/>
        <v>0</v>
      </c>
      <c r="R33" s="19" t="b">
        <f t="shared" si="0"/>
        <v>1</v>
      </c>
      <c r="S33" s="40" t="b">
        <f t="shared" si="1"/>
        <v>1</v>
      </c>
      <c r="T33" s="28"/>
      <c r="U33" s="28"/>
      <c r="V33" s="2"/>
      <c r="W33" s="2"/>
    </row>
    <row r="34" spans="1:23" ht="40.15" customHeight="1" x14ac:dyDescent="0.25">
      <c r="A34" s="164" t="s">
        <v>37</v>
      </c>
      <c r="B34" s="165">
        <f>B21</f>
        <v>10</v>
      </c>
      <c r="C34" s="166">
        <f t="shared" ref="C34:O34" si="16">C21</f>
        <v>38995430.400000006</v>
      </c>
      <c r="D34" s="167">
        <f t="shared" si="16"/>
        <v>11008379.459999997</v>
      </c>
      <c r="E34" s="49">
        <f t="shared" si="16"/>
        <v>27987050.939999998</v>
      </c>
      <c r="F34" s="168">
        <f t="shared" si="16"/>
        <v>0</v>
      </c>
      <c r="G34" s="166">
        <f t="shared" si="16"/>
        <v>0</v>
      </c>
      <c r="H34" s="166">
        <f t="shared" si="16"/>
        <v>0</v>
      </c>
      <c r="I34" s="166">
        <f t="shared" si="16"/>
        <v>0</v>
      </c>
      <c r="J34" s="166">
        <f t="shared" si="16"/>
        <v>0</v>
      </c>
      <c r="K34" s="166">
        <f t="shared" si="16"/>
        <v>14884881.799999999</v>
      </c>
      <c r="L34" s="166">
        <f t="shared" si="16"/>
        <v>11114818.379999999</v>
      </c>
      <c r="M34" s="166">
        <f t="shared" si="16"/>
        <v>1987350.7600000007</v>
      </c>
      <c r="N34" s="166">
        <f t="shared" si="16"/>
        <v>0</v>
      </c>
      <c r="O34" s="166">
        <f t="shared" si="16"/>
        <v>0</v>
      </c>
      <c r="P34" s="166">
        <f t="shared" ref="P34:Q34" si="17">P21</f>
        <v>0</v>
      </c>
      <c r="Q34" s="169">
        <f t="shared" si="17"/>
        <v>0</v>
      </c>
      <c r="R34" s="19" t="b">
        <f t="shared" si="0"/>
        <v>1</v>
      </c>
      <c r="S34" s="40" t="b">
        <f t="shared" si="1"/>
        <v>1</v>
      </c>
      <c r="T34" s="28"/>
      <c r="U34" s="28"/>
      <c r="V34" s="2"/>
      <c r="W34" s="2"/>
    </row>
    <row r="35" spans="1:23" ht="40.15" customHeight="1" x14ac:dyDescent="0.25">
      <c r="A35" s="138" t="s">
        <v>38</v>
      </c>
      <c r="B35" s="81">
        <f>B22+B31</f>
        <v>26</v>
      </c>
      <c r="C35" s="72">
        <f t="shared" ref="C35:O35" si="18">C22+C31</f>
        <v>36031599.129999995</v>
      </c>
      <c r="D35" s="86">
        <f t="shared" si="18"/>
        <v>2637967.21</v>
      </c>
      <c r="E35" s="92">
        <f t="shared" si="18"/>
        <v>33393631.920000002</v>
      </c>
      <c r="F35" s="91">
        <f t="shared" si="18"/>
        <v>0</v>
      </c>
      <c r="G35" s="72">
        <f t="shared" si="18"/>
        <v>0</v>
      </c>
      <c r="H35" s="72">
        <f t="shared" si="18"/>
        <v>0</v>
      </c>
      <c r="I35" s="72">
        <f t="shared" si="18"/>
        <v>0</v>
      </c>
      <c r="J35" s="72">
        <f t="shared" si="18"/>
        <v>0</v>
      </c>
      <c r="K35" s="72">
        <f t="shared" si="18"/>
        <v>0</v>
      </c>
      <c r="L35" s="72">
        <f t="shared" si="18"/>
        <v>33393631.920000002</v>
      </c>
      <c r="M35" s="72">
        <f t="shared" si="18"/>
        <v>0</v>
      </c>
      <c r="N35" s="72">
        <f t="shared" si="18"/>
        <v>0</v>
      </c>
      <c r="O35" s="72">
        <f t="shared" si="18"/>
        <v>0</v>
      </c>
      <c r="P35" s="72">
        <f t="shared" ref="P35:Q35" si="19">P22+P31</f>
        <v>0</v>
      </c>
      <c r="Q35" s="139">
        <f t="shared" si="19"/>
        <v>0</v>
      </c>
      <c r="R35" s="19" t="b">
        <f t="shared" si="0"/>
        <v>1</v>
      </c>
      <c r="S35" s="40" t="b">
        <f t="shared" si="1"/>
        <v>1</v>
      </c>
      <c r="T35" s="28"/>
      <c r="U35" s="28"/>
      <c r="V35" s="2"/>
      <c r="W35" s="2"/>
    </row>
    <row r="36" spans="1:23" ht="40.15" customHeight="1" thickBot="1" x14ac:dyDescent="0.3">
      <c r="A36" s="140" t="s">
        <v>39</v>
      </c>
      <c r="B36" s="141">
        <f>B23+B32</f>
        <v>6</v>
      </c>
      <c r="C36" s="142">
        <f t="shared" ref="C36:O36" si="20">C23+C32</f>
        <v>27478572.610000003</v>
      </c>
      <c r="D36" s="143">
        <f t="shared" si="20"/>
        <v>1630409.28</v>
      </c>
      <c r="E36" s="106">
        <f t="shared" si="20"/>
        <v>25848163.330000002</v>
      </c>
      <c r="F36" s="144">
        <f t="shared" si="20"/>
        <v>0</v>
      </c>
      <c r="G36" s="142">
        <f t="shared" si="20"/>
        <v>0</v>
      </c>
      <c r="H36" s="142">
        <f t="shared" si="20"/>
        <v>0</v>
      </c>
      <c r="I36" s="142">
        <f t="shared" si="20"/>
        <v>0</v>
      </c>
      <c r="J36" s="142">
        <f t="shared" si="20"/>
        <v>0</v>
      </c>
      <c r="K36" s="142">
        <f t="shared" si="20"/>
        <v>0</v>
      </c>
      <c r="L36" s="142">
        <f t="shared" si="20"/>
        <v>18706846.66</v>
      </c>
      <c r="M36" s="142">
        <f t="shared" si="20"/>
        <v>7141316.6700000009</v>
      </c>
      <c r="N36" s="142">
        <f t="shared" si="20"/>
        <v>0</v>
      </c>
      <c r="O36" s="142">
        <f t="shared" si="20"/>
        <v>0</v>
      </c>
      <c r="P36" s="142">
        <f t="shared" ref="P36:Q36" si="21">P23+P32</f>
        <v>0</v>
      </c>
      <c r="Q36" s="145">
        <f t="shared" si="21"/>
        <v>0</v>
      </c>
      <c r="R36" s="19" t="b">
        <f t="shared" si="0"/>
        <v>1</v>
      </c>
      <c r="S36" s="40" t="b">
        <f t="shared" si="1"/>
        <v>1</v>
      </c>
      <c r="T36" s="28"/>
      <c r="U36" s="28"/>
      <c r="V36" s="2"/>
      <c r="W36" s="2"/>
    </row>
    <row r="37" spans="1:23" ht="15.75" thickTop="1" x14ac:dyDescent="0.25">
      <c r="A37" s="29"/>
      <c r="B37" s="29" t="b">
        <f>B12+B16=B20</f>
        <v>1</v>
      </c>
      <c r="C37" s="29" t="b">
        <f t="shared" ref="C37:Q37" si="22">C12+C16=C20</f>
        <v>1</v>
      </c>
      <c r="D37" s="29" t="b">
        <f t="shared" si="22"/>
        <v>1</v>
      </c>
      <c r="E37" s="29" t="b">
        <f t="shared" si="22"/>
        <v>1</v>
      </c>
      <c r="F37" s="29" t="b">
        <f t="shared" si="22"/>
        <v>1</v>
      </c>
      <c r="G37" s="29" t="b">
        <f t="shared" si="22"/>
        <v>1</v>
      </c>
      <c r="H37" s="29" t="b">
        <f t="shared" si="22"/>
        <v>1</v>
      </c>
      <c r="I37" s="29" t="b">
        <f t="shared" si="22"/>
        <v>1</v>
      </c>
      <c r="J37" s="29" t="b">
        <f t="shared" si="22"/>
        <v>1</v>
      </c>
      <c r="K37" s="29" t="b">
        <f t="shared" si="22"/>
        <v>1</v>
      </c>
      <c r="L37" s="29" t="b">
        <f t="shared" si="22"/>
        <v>1</v>
      </c>
      <c r="M37" s="29" t="b">
        <f t="shared" si="22"/>
        <v>1</v>
      </c>
      <c r="N37" s="29" t="b">
        <f t="shared" si="22"/>
        <v>1</v>
      </c>
      <c r="O37" s="29" t="b">
        <f t="shared" si="22"/>
        <v>1</v>
      </c>
      <c r="P37" s="29" t="b">
        <f t="shared" si="22"/>
        <v>1</v>
      </c>
      <c r="Q37" s="29" t="b">
        <f t="shared" si="22"/>
        <v>1</v>
      </c>
      <c r="R37" s="29"/>
      <c r="S37" s="29"/>
      <c r="T37" s="28"/>
      <c r="U37" s="28"/>
      <c r="V37" s="2"/>
      <c r="W37" s="2"/>
    </row>
    <row r="38" spans="1:23" x14ac:dyDescent="0.25">
      <c r="A38" s="29"/>
      <c r="B38" s="29" t="b">
        <f>B13+B17=B21</f>
        <v>1</v>
      </c>
      <c r="C38" s="29" t="b">
        <f t="shared" ref="C38:Q38" si="23">C13+C17=C21</f>
        <v>1</v>
      </c>
      <c r="D38" s="29" t="b">
        <f t="shared" si="23"/>
        <v>1</v>
      </c>
      <c r="E38" s="29" t="b">
        <f t="shared" si="23"/>
        <v>1</v>
      </c>
      <c r="F38" s="29" t="b">
        <f t="shared" si="23"/>
        <v>1</v>
      </c>
      <c r="G38" s="29" t="b">
        <f t="shared" si="23"/>
        <v>1</v>
      </c>
      <c r="H38" s="29" t="b">
        <f t="shared" si="23"/>
        <v>1</v>
      </c>
      <c r="I38" s="29" t="b">
        <f t="shared" si="23"/>
        <v>1</v>
      </c>
      <c r="J38" s="29" t="b">
        <f t="shared" si="23"/>
        <v>1</v>
      </c>
      <c r="K38" s="29" t="b">
        <f t="shared" si="23"/>
        <v>1</v>
      </c>
      <c r="L38" s="29" t="b">
        <f t="shared" si="23"/>
        <v>1</v>
      </c>
      <c r="M38" s="29" t="b">
        <f t="shared" si="23"/>
        <v>1</v>
      </c>
      <c r="N38" s="29" t="b">
        <f t="shared" si="23"/>
        <v>1</v>
      </c>
      <c r="O38" s="29" t="b">
        <f t="shared" si="23"/>
        <v>1</v>
      </c>
      <c r="P38" s="29" t="b">
        <f t="shared" si="23"/>
        <v>1</v>
      </c>
      <c r="Q38" s="29" t="b">
        <f t="shared" si="23"/>
        <v>1</v>
      </c>
      <c r="R38" s="29"/>
      <c r="S38" s="29"/>
      <c r="T38" s="28"/>
      <c r="U38" s="28"/>
      <c r="V38" s="2"/>
      <c r="W38" s="2"/>
    </row>
    <row r="39" spans="1:23" x14ac:dyDescent="0.25">
      <c r="A39" s="29"/>
      <c r="B39" s="29" t="b">
        <f>B14+B18=B22</f>
        <v>1</v>
      </c>
      <c r="C39" s="29" t="b">
        <f t="shared" ref="C39:Q39" si="24">C14+C18=C22</f>
        <v>1</v>
      </c>
      <c r="D39" s="29" t="b">
        <f t="shared" si="24"/>
        <v>1</v>
      </c>
      <c r="E39" s="29" t="b">
        <f t="shared" si="24"/>
        <v>1</v>
      </c>
      <c r="F39" s="29" t="b">
        <f t="shared" si="24"/>
        <v>1</v>
      </c>
      <c r="G39" s="29" t="b">
        <f t="shared" si="24"/>
        <v>1</v>
      </c>
      <c r="H39" s="29" t="b">
        <f t="shared" si="24"/>
        <v>1</v>
      </c>
      <c r="I39" s="29" t="b">
        <f t="shared" si="24"/>
        <v>1</v>
      </c>
      <c r="J39" s="29" t="b">
        <f t="shared" si="24"/>
        <v>1</v>
      </c>
      <c r="K39" s="29" t="b">
        <f t="shared" si="24"/>
        <v>1</v>
      </c>
      <c r="L39" s="29" t="b">
        <f t="shared" si="24"/>
        <v>1</v>
      </c>
      <c r="M39" s="29" t="b">
        <f t="shared" si="24"/>
        <v>1</v>
      </c>
      <c r="N39" s="29" t="b">
        <f t="shared" si="24"/>
        <v>1</v>
      </c>
      <c r="O39" s="29" t="b">
        <f t="shared" si="24"/>
        <v>1</v>
      </c>
      <c r="P39" s="29" t="b">
        <f t="shared" si="24"/>
        <v>1</v>
      </c>
      <c r="Q39" s="29" t="b">
        <f t="shared" si="24"/>
        <v>1</v>
      </c>
      <c r="R39" s="29"/>
      <c r="S39" s="29"/>
      <c r="T39" s="28"/>
      <c r="U39" s="28"/>
      <c r="V39" s="2"/>
      <c r="W39" s="2"/>
    </row>
    <row r="40" spans="1:23" x14ac:dyDescent="0.25">
      <c r="A40" s="29"/>
      <c r="B40" s="29" t="b">
        <f>B15+B19=B23</f>
        <v>1</v>
      </c>
      <c r="C40" s="29" t="b">
        <f t="shared" ref="C40:Q40" si="25">C15+C19=C23</f>
        <v>1</v>
      </c>
      <c r="D40" s="29" t="b">
        <f t="shared" si="25"/>
        <v>1</v>
      </c>
      <c r="E40" s="29" t="b">
        <f t="shared" si="25"/>
        <v>1</v>
      </c>
      <c r="F40" s="29" t="b">
        <f t="shared" si="25"/>
        <v>1</v>
      </c>
      <c r="G40" s="29" t="b">
        <f t="shared" si="25"/>
        <v>1</v>
      </c>
      <c r="H40" s="29" t="b">
        <f t="shared" si="25"/>
        <v>1</v>
      </c>
      <c r="I40" s="29" t="b">
        <f t="shared" si="25"/>
        <v>1</v>
      </c>
      <c r="J40" s="29" t="b">
        <f t="shared" si="25"/>
        <v>1</v>
      </c>
      <c r="K40" s="29" t="b">
        <f t="shared" si="25"/>
        <v>1</v>
      </c>
      <c r="L40" s="29" t="b">
        <f t="shared" si="25"/>
        <v>1</v>
      </c>
      <c r="M40" s="29" t="b">
        <f t="shared" si="25"/>
        <v>1</v>
      </c>
      <c r="N40" s="29" t="b">
        <f t="shared" si="25"/>
        <v>1</v>
      </c>
      <c r="O40" s="29" t="b">
        <f t="shared" si="25"/>
        <v>1</v>
      </c>
      <c r="P40" s="29" t="b">
        <f t="shared" si="25"/>
        <v>1</v>
      </c>
      <c r="Q40" s="29" t="b">
        <f t="shared" si="25"/>
        <v>1</v>
      </c>
      <c r="R40" s="29"/>
      <c r="S40" s="29"/>
      <c r="T40" s="28"/>
      <c r="U40" s="28"/>
      <c r="V40" s="2"/>
      <c r="W40" s="2"/>
    </row>
    <row r="41" spans="1:23" x14ac:dyDescent="0.25">
      <c r="A41" s="30"/>
      <c r="B41" s="30" t="b">
        <f>B24+B27=B30</f>
        <v>1</v>
      </c>
      <c r="C41" s="30" t="b">
        <f t="shared" ref="C41:Q41" si="26">C24+C27=C30</f>
        <v>1</v>
      </c>
      <c r="D41" s="30" t="b">
        <f t="shared" si="26"/>
        <v>1</v>
      </c>
      <c r="E41" s="30" t="b">
        <f t="shared" si="26"/>
        <v>1</v>
      </c>
      <c r="F41" s="30" t="b">
        <f t="shared" si="26"/>
        <v>1</v>
      </c>
      <c r="G41" s="30" t="b">
        <f t="shared" si="26"/>
        <v>1</v>
      </c>
      <c r="H41" s="30" t="b">
        <f t="shared" si="26"/>
        <v>1</v>
      </c>
      <c r="I41" s="30" t="b">
        <f t="shared" si="26"/>
        <v>1</v>
      </c>
      <c r="J41" s="30" t="b">
        <f t="shared" si="26"/>
        <v>1</v>
      </c>
      <c r="K41" s="30" t="b">
        <f t="shared" si="26"/>
        <v>1</v>
      </c>
      <c r="L41" s="30" t="b">
        <f t="shared" si="26"/>
        <v>1</v>
      </c>
      <c r="M41" s="30" t="b">
        <f t="shared" si="26"/>
        <v>1</v>
      </c>
      <c r="N41" s="30" t="b">
        <f t="shared" si="26"/>
        <v>1</v>
      </c>
      <c r="O41" s="30" t="b">
        <f t="shared" si="26"/>
        <v>1</v>
      </c>
      <c r="P41" s="30" t="b">
        <f t="shared" si="26"/>
        <v>1</v>
      </c>
      <c r="Q41" s="30" t="b">
        <f t="shared" si="26"/>
        <v>1</v>
      </c>
      <c r="R41" s="30"/>
      <c r="S41" s="30"/>
      <c r="T41" s="2"/>
      <c r="U41" s="2"/>
      <c r="V41" s="2"/>
      <c r="W41" s="2"/>
    </row>
    <row r="42" spans="1:23" x14ac:dyDescent="0.25">
      <c r="A42" s="30"/>
      <c r="B42" s="30" t="b">
        <f>B28+B25=B31</f>
        <v>1</v>
      </c>
      <c r="C42" s="30" t="b">
        <f t="shared" ref="C42:Q42" si="27">C28+C25=C31</f>
        <v>1</v>
      </c>
      <c r="D42" s="30" t="b">
        <f t="shared" si="27"/>
        <v>1</v>
      </c>
      <c r="E42" s="30" t="b">
        <f t="shared" si="27"/>
        <v>1</v>
      </c>
      <c r="F42" s="30" t="b">
        <f t="shared" si="27"/>
        <v>1</v>
      </c>
      <c r="G42" s="30" t="b">
        <f t="shared" si="27"/>
        <v>1</v>
      </c>
      <c r="H42" s="30" t="b">
        <f t="shared" si="27"/>
        <v>1</v>
      </c>
      <c r="I42" s="30" t="b">
        <f t="shared" si="27"/>
        <v>1</v>
      </c>
      <c r="J42" s="30" t="b">
        <f t="shared" si="27"/>
        <v>1</v>
      </c>
      <c r="K42" s="30" t="b">
        <f t="shared" si="27"/>
        <v>1</v>
      </c>
      <c r="L42" s="30" t="b">
        <f>L28+L25=L31</f>
        <v>1</v>
      </c>
      <c r="M42" s="30" t="b">
        <f t="shared" si="27"/>
        <v>1</v>
      </c>
      <c r="N42" s="30" t="b">
        <f t="shared" si="27"/>
        <v>1</v>
      </c>
      <c r="O42" s="30" t="b">
        <f t="shared" si="27"/>
        <v>1</v>
      </c>
      <c r="P42" s="30" t="b">
        <f t="shared" si="27"/>
        <v>1</v>
      </c>
      <c r="Q42" s="30" t="b">
        <f t="shared" si="27"/>
        <v>1</v>
      </c>
      <c r="R42" s="30"/>
      <c r="S42" s="30"/>
      <c r="T42" s="2"/>
      <c r="U42" s="2"/>
      <c r="V42" s="2"/>
      <c r="W42" s="2"/>
    </row>
    <row r="43" spans="1:23" x14ac:dyDescent="0.25">
      <c r="A43" s="30"/>
      <c r="B43" s="30" t="b">
        <f>B26+B29=B32</f>
        <v>1</v>
      </c>
      <c r="C43" s="30" t="b">
        <f t="shared" ref="C43:Q43" si="28">C26+C29=C32</f>
        <v>1</v>
      </c>
      <c r="D43" s="30" t="b">
        <f t="shared" si="28"/>
        <v>1</v>
      </c>
      <c r="E43" s="30" t="b">
        <f t="shared" si="28"/>
        <v>1</v>
      </c>
      <c r="F43" s="30" t="b">
        <f t="shared" si="28"/>
        <v>1</v>
      </c>
      <c r="G43" s="30" t="b">
        <f t="shared" si="28"/>
        <v>1</v>
      </c>
      <c r="H43" s="30" t="b">
        <f t="shared" si="28"/>
        <v>1</v>
      </c>
      <c r="I43" s="30" t="b">
        <f t="shared" si="28"/>
        <v>1</v>
      </c>
      <c r="J43" s="30" t="b">
        <f t="shared" si="28"/>
        <v>1</v>
      </c>
      <c r="K43" s="30" t="b">
        <f t="shared" si="28"/>
        <v>1</v>
      </c>
      <c r="L43" s="30" t="b">
        <f t="shared" si="28"/>
        <v>1</v>
      </c>
      <c r="M43" s="30" t="b">
        <f t="shared" si="28"/>
        <v>1</v>
      </c>
      <c r="N43" s="30" t="b">
        <f t="shared" si="28"/>
        <v>1</v>
      </c>
      <c r="O43" s="30" t="b">
        <f t="shared" si="28"/>
        <v>1</v>
      </c>
      <c r="P43" s="30" t="b">
        <f t="shared" si="28"/>
        <v>1</v>
      </c>
      <c r="Q43" s="30" t="b">
        <f t="shared" si="28"/>
        <v>1</v>
      </c>
      <c r="R43" s="30"/>
      <c r="S43" s="30"/>
      <c r="T43" s="2"/>
      <c r="U43" s="2"/>
      <c r="V43" s="2"/>
      <c r="W43" s="2"/>
    </row>
    <row r="44" spans="1:23" x14ac:dyDescent="0.25">
      <c r="B44" s="13" t="b">
        <f>B20+B30=B33</f>
        <v>1</v>
      </c>
      <c r="C44" s="13" t="b">
        <f t="shared" ref="C44:Q44" si="29">C20+C30=C33</f>
        <v>1</v>
      </c>
      <c r="D44" s="13" t="b">
        <f t="shared" si="29"/>
        <v>1</v>
      </c>
      <c r="E44" s="13" t="b">
        <f t="shared" si="29"/>
        <v>1</v>
      </c>
      <c r="F44" s="13" t="b">
        <f t="shared" si="29"/>
        <v>1</v>
      </c>
      <c r="G44" s="13" t="b">
        <f t="shared" si="29"/>
        <v>1</v>
      </c>
      <c r="H44" s="13" t="b">
        <f t="shared" si="29"/>
        <v>1</v>
      </c>
      <c r="I44" s="13" t="b">
        <f t="shared" si="29"/>
        <v>1</v>
      </c>
      <c r="J44" s="13" t="b">
        <f t="shared" si="29"/>
        <v>1</v>
      </c>
      <c r="K44" s="13" t="b">
        <f t="shared" si="29"/>
        <v>1</v>
      </c>
      <c r="L44" s="13" t="b">
        <f t="shared" si="29"/>
        <v>1</v>
      </c>
      <c r="M44" s="13" t="b">
        <f t="shared" si="29"/>
        <v>1</v>
      </c>
      <c r="N44" s="13" t="b">
        <f t="shared" si="29"/>
        <v>1</v>
      </c>
      <c r="O44" s="13" t="b">
        <f t="shared" si="29"/>
        <v>1</v>
      </c>
      <c r="P44" s="13" t="b">
        <f t="shared" si="29"/>
        <v>1</v>
      </c>
      <c r="Q44" s="13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Header>&amp;LWojewództwo &amp;KFF0000OPOLSKIE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30"/>
  <sheetViews>
    <sheetView showGridLines="0" zoomScale="78" zoomScaleNormal="78" zoomScaleSheetLayoutView="85" workbookViewId="0">
      <selection activeCell="U24" sqref="U24"/>
    </sheetView>
  </sheetViews>
  <sheetFormatPr defaultColWidth="9.28515625" defaultRowHeight="15" x14ac:dyDescent="0.25"/>
  <cols>
    <col min="1" max="1" width="5.7109375" style="3" customWidth="1"/>
    <col min="2" max="3" width="14.28515625" style="3" customWidth="1"/>
    <col min="4" max="4" width="15.7109375" style="3" customWidth="1"/>
    <col min="5" max="5" width="6.5703125" style="3" customWidth="1"/>
    <col min="6" max="6" width="45.42578125" style="3" customWidth="1"/>
    <col min="7" max="7" width="7.42578125" style="3" customWidth="1"/>
    <col min="8" max="8" width="7.7109375" style="3" customWidth="1"/>
    <col min="9" max="9" width="14.7109375" style="3" customWidth="1"/>
    <col min="10" max="10" width="13.7109375" style="4" customWidth="1"/>
    <col min="11" max="12" width="14.5703125" style="3" customWidth="1"/>
    <col min="13" max="13" width="13.7109375" style="1" customWidth="1"/>
    <col min="14" max="18" width="6.7109375" style="3" customWidth="1"/>
    <col min="19" max="19" width="11.5703125" style="3" customWidth="1"/>
    <col min="20" max="20" width="14.28515625" style="3" customWidth="1"/>
    <col min="21" max="21" width="13" style="3" customWidth="1"/>
    <col min="22" max="25" width="6.7109375" style="3" customWidth="1"/>
    <col min="60" max="16384" width="9.28515625" style="3"/>
  </cols>
  <sheetData>
    <row r="1" spans="1:59" ht="20.100000000000001" customHeight="1" x14ac:dyDescent="0.25">
      <c r="A1" s="314" t="s">
        <v>4</v>
      </c>
      <c r="B1" s="314" t="s">
        <v>5</v>
      </c>
      <c r="C1" s="322" t="s">
        <v>43</v>
      </c>
      <c r="D1" s="318" t="s">
        <v>6</v>
      </c>
      <c r="E1" s="318" t="s">
        <v>32</v>
      </c>
      <c r="F1" s="318" t="s">
        <v>7</v>
      </c>
      <c r="G1" s="314" t="s">
        <v>26</v>
      </c>
      <c r="H1" s="314" t="s">
        <v>8</v>
      </c>
      <c r="I1" s="314" t="s">
        <v>23</v>
      </c>
      <c r="J1" s="315" t="s">
        <v>9</v>
      </c>
      <c r="K1" s="314" t="s">
        <v>16</v>
      </c>
      <c r="L1" s="318" t="s">
        <v>13</v>
      </c>
      <c r="M1" s="314" t="s">
        <v>11</v>
      </c>
      <c r="N1" s="316" t="s">
        <v>12</v>
      </c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</row>
    <row r="2" spans="1:59" ht="30" customHeight="1" x14ac:dyDescent="0.25">
      <c r="A2" s="314"/>
      <c r="B2" s="314"/>
      <c r="C2" s="323"/>
      <c r="D2" s="319"/>
      <c r="E2" s="319"/>
      <c r="F2" s="319"/>
      <c r="G2" s="314"/>
      <c r="H2" s="314"/>
      <c r="I2" s="314"/>
      <c r="J2" s="315"/>
      <c r="K2" s="314"/>
      <c r="L2" s="319"/>
      <c r="M2" s="314"/>
      <c r="N2" s="36">
        <v>2019</v>
      </c>
      <c r="O2" s="36">
        <v>2020</v>
      </c>
      <c r="P2" s="36">
        <v>2021</v>
      </c>
      <c r="Q2" s="36">
        <v>2022</v>
      </c>
      <c r="R2" s="36">
        <v>2023</v>
      </c>
      <c r="S2" s="36">
        <v>2024</v>
      </c>
      <c r="T2" s="36">
        <v>2025</v>
      </c>
      <c r="U2" s="36">
        <v>2026</v>
      </c>
      <c r="V2" s="36">
        <v>2027</v>
      </c>
      <c r="W2" s="36">
        <v>2028</v>
      </c>
      <c r="X2" s="170">
        <v>2029</v>
      </c>
      <c r="Y2" s="170">
        <v>2030</v>
      </c>
      <c r="Z2" s="1" t="s">
        <v>28</v>
      </c>
      <c r="AA2" s="1" t="s">
        <v>29</v>
      </c>
      <c r="AB2" s="1" t="s">
        <v>30</v>
      </c>
      <c r="AC2" s="1" t="s">
        <v>31</v>
      </c>
    </row>
    <row r="3" spans="1:59" s="182" customFormat="1" ht="30" customHeight="1" x14ac:dyDescent="0.25">
      <c r="A3" s="181">
        <v>1</v>
      </c>
      <c r="B3" s="209" t="s">
        <v>83</v>
      </c>
      <c r="C3" s="242" t="s">
        <v>87</v>
      </c>
      <c r="D3" s="209" t="s">
        <v>68</v>
      </c>
      <c r="E3" s="209">
        <v>1604</v>
      </c>
      <c r="F3" s="209" t="s">
        <v>85</v>
      </c>
      <c r="G3" s="209" t="s">
        <v>69</v>
      </c>
      <c r="H3" s="210">
        <v>3.47</v>
      </c>
      <c r="I3" s="211" t="s">
        <v>210</v>
      </c>
      <c r="J3" s="211">
        <v>2869817.78</v>
      </c>
      <c r="K3" s="213">
        <f t="shared" ref="K3" si="0">ROUNDDOWN(J3*M3,2)</f>
        <v>2295854.2200000002</v>
      </c>
      <c r="L3" s="280">
        <f t="shared" ref="L3" si="1">J3-K3</f>
        <v>573963.55999999959</v>
      </c>
      <c r="M3" s="255">
        <v>0.8</v>
      </c>
      <c r="N3" s="281">
        <v>0</v>
      </c>
      <c r="O3" s="282">
        <v>0</v>
      </c>
      <c r="P3" s="283">
        <v>0</v>
      </c>
      <c r="Q3" s="283">
        <v>0</v>
      </c>
      <c r="R3" s="283">
        <v>0</v>
      </c>
      <c r="S3" s="212">
        <v>862380.24</v>
      </c>
      <c r="T3" s="211">
        <v>1433473.98</v>
      </c>
      <c r="U3" s="284">
        <v>0</v>
      </c>
      <c r="V3" s="284">
        <v>0</v>
      </c>
      <c r="W3" s="283">
        <v>0</v>
      </c>
      <c r="X3" s="283">
        <v>0</v>
      </c>
      <c r="Y3" s="283">
        <v>0</v>
      </c>
      <c r="Z3" s="1" t="b">
        <f>K3=SUM(N3:Y3)</f>
        <v>1</v>
      </c>
      <c r="AA3" s="42">
        <f t="shared" ref="AA3" si="2">ROUND(K3/J3,4)</f>
        <v>0.8</v>
      </c>
      <c r="AB3" s="43" t="b">
        <f t="shared" ref="AB3" si="3">AA3=M3</f>
        <v>1</v>
      </c>
      <c r="AC3" s="43" t="b">
        <f>J3=K3+L3</f>
        <v>1</v>
      </c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</row>
    <row r="4" spans="1:59" s="246" customFormat="1" ht="30" customHeight="1" x14ac:dyDescent="0.25">
      <c r="A4" s="252">
        <v>2</v>
      </c>
      <c r="B4" s="183" t="s">
        <v>48</v>
      </c>
      <c r="C4" s="192" t="s">
        <v>84</v>
      </c>
      <c r="D4" s="194" t="s">
        <v>58</v>
      </c>
      <c r="E4" s="194">
        <v>1609</v>
      </c>
      <c r="F4" s="184" t="s">
        <v>59</v>
      </c>
      <c r="G4" s="184" t="s">
        <v>60</v>
      </c>
      <c r="H4" s="185">
        <v>1.335</v>
      </c>
      <c r="I4" s="186" t="s">
        <v>235</v>
      </c>
      <c r="J4" s="213">
        <v>5374889.6699999999</v>
      </c>
      <c r="K4" s="213">
        <f>ROUNDDOWN(J4*M4,2)</f>
        <v>5374889.6699999999</v>
      </c>
      <c r="L4" s="280">
        <f>J4-K4</f>
        <v>0</v>
      </c>
      <c r="M4" s="255">
        <v>1</v>
      </c>
      <c r="N4" s="285">
        <v>0</v>
      </c>
      <c r="O4" s="286">
        <v>0</v>
      </c>
      <c r="P4" s="259">
        <v>0</v>
      </c>
      <c r="Q4" s="259">
        <v>0</v>
      </c>
      <c r="R4" s="259">
        <v>0</v>
      </c>
      <c r="S4" s="211">
        <v>0</v>
      </c>
      <c r="T4" s="211">
        <v>5374889.6699999999</v>
      </c>
      <c r="U4" s="211">
        <f>K4-T4</f>
        <v>0</v>
      </c>
      <c r="V4" s="211">
        <v>0</v>
      </c>
      <c r="W4" s="259">
        <v>0</v>
      </c>
      <c r="X4" s="259">
        <v>0</v>
      </c>
      <c r="Y4" s="259">
        <v>0</v>
      </c>
      <c r="Z4" s="1" t="b">
        <f t="shared" ref="Z4:Z13" si="4">K4=SUM(N4:Y4)</f>
        <v>1</v>
      </c>
      <c r="AA4" s="42">
        <f t="shared" ref="AA4:AA13" si="5">ROUND(K4/J4,4)</f>
        <v>1</v>
      </c>
      <c r="AB4" s="43" t="b">
        <f t="shared" ref="AB4:AB13" si="6">AA4=M4</f>
        <v>1</v>
      </c>
      <c r="AC4" s="43" t="b">
        <f t="shared" ref="AC4:AC13" si="7">J4=K4+L4</f>
        <v>1</v>
      </c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</row>
    <row r="5" spans="1:59" s="247" customFormat="1" ht="40.5" customHeight="1" x14ac:dyDescent="0.25">
      <c r="A5" s="253">
        <v>3</v>
      </c>
      <c r="B5" s="50" t="s">
        <v>49</v>
      </c>
      <c r="C5" s="193" t="s">
        <v>86</v>
      </c>
      <c r="D5" s="195" t="s">
        <v>61</v>
      </c>
      <c r="E5" s="195">
        <v>1610</v>
      </c>
      <c r="F5" s="178" t="s">
        <v>62</v>
      </c>
      <c r="G5" s="178" t="s">
        <v>60</v>
      </c>
      <c r="H5" s="179">
        <v>3.1</v>
      </c>
      <c r="I5" s="180" t="s">
        <v>181</v>
      </c>
      <c r="J5" s="219">
        <v>4017241.12</v>
      </c>
      <c r="K5" s="219">
        <f t="shared" ref="K5:K10" si="8">ROUNDDOWN(J5*M5,2)</f>
        <v>4017241.12</v>
      </c>
      <c r="L5" s="287">
        <f t="shared" ref="L5:L7" si="9">J5-K5</f>
        <v>0</v>
      </c>
      <c r="M5" s="196">
        <v>1</v>
      </c>
      <c r="N5" s="288">
        <v>0</v>
      </c>
      <c r="O5" s="289">
        <v>0</v>
      </c>
      <c r="P5" s="245">
        <v>0</v>
      </c>
      <c r="Q5" s="245">
        <v>0</v>
      </c>
      <c r="R5" s="245">
        <v>0</v>
      </c>
      <c r="S5" s="244">
        <v>0</v>
      </c>
      <c r="T5" s="244">
        <f>K5</f>
        <v>4017241.12</v>
      </c>
      <c r="U5" s="244">
        <v>0</v>
      </c>
      <c r="V5" s="244">
        <v>0</v>
      </c>
      <c r="W5" s="245">
        <v>0</v>
      </c>
      <c r="X5" s="245">
        <v>0</v>
      </c>
      <c r="Y5" s="245">
        <v>0</v>
      </c>
      <c r="Z5" s="1" t="b">
        <f t="shared" si="4"/>
        <v>1</v>
      </c>
      <c r="AA5" s="42">
        <f t="shared" si="5"/>
        <v>1</v>
      </c>
      <c r="AB5" s="43" t="b">
        <f t="shared" si="6"/>
        <v>1</v>
      </c>
      <c r="AC5" s="43" t="b">
        <f t="shared" si="7"/>
        <v>1</v>
      </c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 s="247" customFormat="1" ht="30" customHeight="1" x14ac:dyDescent="0.25">
      <c r="A6" s="253">
        <v>4</v>
      </c>
      <c r="B6" s="50" t="s">
        <v>50</v>
      </c>
      <c r="C6" s="193" t="s">
        <v>86</v>
      </c>
      <c r="D6" s="195" t="s">
        <v>63</v>
      </c>
      <c r="E6" s="195">
        <v>1601</v>
      </c>
      <c r="F6" s="178" t="s">
        <v>64</v>
      </c>
      <c r="G6" s="178" t="s">
        <v>65</v>
      </c>
      <c r="H6" s="179">
        <v>0.40400000000000003</v>
      </c>
      <c r="I6" s="180" t="s">
        <v>233</v>
      </c>
      <c r="J6" s="219">
        <v>1043335.51</v>
      </c>
      <c r="K6" s="219">
        <f t="shared" si="8"/>
        <v>1043335.51</v>
      </c>
      <c r="L6" s="287">
        <f t="shared" si="9"/>
        <v>0</v>
      </c>
      <c r="M6" s="279">
        <v>1</v>
      </c>
      <c r="N6" s="288">
        <v>0</v>
      </c>
      <c r="O6" s="289">
        <v>0</v>
      </c>
      <c r="P6" s="245">
        <v>0</v>
      </c>
      <c r="Q6" s="245">
        <v>0</v>
      </c>
      <c r="R6" s="245">
        <v>0</v>
      </c>
      <c r="S6" s="244">
        <v>0</v>
      </c>
      <c r="T6" s="244">
        <f>K6</f>
        <v>1043335.51</v>
      </c>
      <c r="U6" s="244">
        <v>0</v>
      </c>
      <c r="V6" s="244">
        <v>0</v>
      </c>
      <c r="W6" s="245">
        <v>0</v>
      </c>
      <c r="X6" s="245">
        <v>0</v>
      </c>
      <c r="Y6" s="245">
        <v>0</v>
      </c>
      <c r="Z6" s="1" t="b">
        <f t="shared" si="4"/>
        <v>1</v>
      </c>
      <c r="AA6" s="42">
        <f t="shared" si="5"/>
        <v>1</v>
      </c>
      <c r="AB6" s="43" t="b">
        <f t="shared" si="6"/>
        <v>1</v>
      </c>
      <c r="AC6" s="43" t="b">
        <f t="shared" si="7"/>
        <v>1</v>
      </c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 s="182" customFormat="1" ht="30" customHeight="1" x14ac:dyDescent="0.25">
      <c r="A7" s="252">
        <v>5</v>
      </c>
      <c r="B7" s="183" t="s">
        <v>51</v>
      </c>
      <c r="C7" s="192" t="s">
        <v>84</v>
      </c>
      <c r="D7" s="194" t="s">
        <v>66</v>
      </c>
      <c r="E7" s="194">
        <v>1611</v>
      </c>
      <c r="F7" s="184" t="s">
        <v>67</v>
      </c>
      <c r="G7" s="184" t="s">
        <v>60</v>
      </c>
      <c r="H7" s="185">
        <v>0.94062999999999997</v>
      </c>
      <c r="I7" s="186" t="s">
        <v>238</v>
      </c>
      <c r="J7" s="213">
        <v>3260818.56</v>
      </c>
      <c r="K7" s="213">
        <f t="shared" si="8"/>
        <v>1630409.28</v>
      </c>
      <c r="L7" s="280">
        <f t="shared" si="9"/>
        <v>1630409.28</v>
      </c>
      <c r="M7" s="255">
        <v>0.5</v>
      </c>
      <c r="N7" s="285">
        <v>0</v>
      </c>
      <c r="O7" s="286">
        <v>0</v>
      </c>
      <c r="P7" s="259">
        <v>0</v>
      </c>
      <c r="Q7" s="259">
        <v>0</v>
      </c>
      <c r="R7" s="259">
        <v>0</v>
      </c>
      <c r="S7" s="211">
        <v>0</v>
      </c>
      <c r="T7" s="211">
        <v>625376.28</v>
      </c>
      <c r="U7" s="211">
        <f>K7-T7</f>
        <v>1005033</v>
      </c>
      <c r="V7" s="211">
        <v>0</v>
      </c>
      <c r="W7" s="259">
        <v>0</v>
      </c>
      <c r="X7" s="259">
        <v>0</v>
      </c>
      <c r="Y7" s="259">
        <v>0</v>
      </c>
      <c r="Z7" s="1" t="b">
        <f t="shared" si="4"/>
        <v>1</v>
      </c>
      <c r="AA7" s="42">
        <f t="shared" si="5"/>
        <v>0.5</v>
      </c>
      <c r="AB7" s="43" t="b">
        <f t="shared" si="6"/>
        <v>1</v>
      </c>
      <c r="AC7" s="43" t="b">
        <f t="shared" si="7"/>
        <v>1</v>
      </c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59" s="265" customFormat="1" ht="39" customHeight="1" x14ac:dyDescent="0.25">
      <c r="A8" s="253">
        <v>6</v>
      </c>
      <c r="B8" s="50" t="s">
        <v>52</v>
      </c>
      <c r="C8" s="193"/>
      <c r="D8" s="240" t="s">
        <v>68</v>
      </c>
      <c r="E8" s="240">
        <v>1604</v>
      </c>
      <c r="F8" s="241" t="s">
        <v>215</v>
      </c>
      <c r="G8" s="178" t="s">
        <v>69</v>
      </c>
      <c r="H8" s="179"/>
      <c r="I8" s="180" t="s">
        <v>216</v>
      </c>
      <c r="J8" s="290"/>
      <c r="K8" s="219"/>
      <c r="L8" s="287"/>
      <c r="M8" s="196">
        <v>0.5</v>
      </c>
      <c r="N8" s="288"/>
      <c r="O8" s="289"/>
      <c r="P8" s="245"/>
      <c r="Q8" s="245"/>
      <c r="R8" s="245"/>
      <c r="S8" s="244"/>
      <c r="T8" s="244"/>
      <c r="U8" s="244"/>
      <c r="V8" s="244"/>
      <c r="W8" s="245"/>
      <c r="X8" s="245"/>
      <c r="Y8" s="245"/>
      <c r="Z8" s="261" t="b">
        <f t="shared" si="4"/>
        <v>1</v>
      </c>
      <c r="AA8" s="262" t="e">
        <f t="shared" si="5"/>
        <v>#DIV/0!</v>
      </c>
      <c r="AB8" s="263" t="e">
        <f t="shared" si="6"/>
        <v>#DIV/0!</v>
      </c>
      <c r="AC8" s="263" t="b">
        <f t="shared" si="7"/>
        <v>1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</row>
    <row r="9" spans="1:59" s="246" customFormat="1" ht="30" customHeight="1" x14ac:dyDescent="0.25">
      <c r="A9" s="253">
        <v>7</v>
      </c>
      <c r="B9" s="50" t="s">
        <v>53</v>
      </c>
      <c r="C9" s="193" t="s">
        <v>86</v>
      </c>
      <c r="D9" s="195" t="s">
        <v>61</v>
      </c>
      <c r="E9" s="195">
        <v>1610</v>
      </c>
      <c r="F9" s="178" t="s">
        <v>70</v>
      </c>
      <c r="G9" s="178" t="s">
        <v>69</v>
      </c>
      <c r="H9" s="179">
        <v>0.81940000000000002</v>
      </c>
      <c r="I9" s="180" t="s">
        <v>234</v>
      </c>
      <c r="J9" s="243">
        <v>1117894.69</v>
      </c>
      <c r="K9" s="219">
        <f t="shared" si="8"/>
        <v>1117894.69</v>
      </c>
      <c r="L9" s="287">
        <f t="shared" ref="L9:L10" si="10">J9-K9</f>
        <v>0</v>
      </c>
      <c r="M9" s="279">
        <v>1</v>
      </c>
      <c r="N9" s="288">
        <v>0</v>
      </c>
      <c r="O9" s="289">
        <v>0</v>
      </c>
      <c r="P9" s="245">
        <v>0</v>
      </c>
      <c r="Q9" s="245">
        <v>0</v>
      </c>
      <c r="R9" s="245">
        <v>0</v>
      </c>
      <c r="S9" s="244">
        <v>0</v>
      </c>
      <c r="T9" s="244">
        <f t="shared" ref="T9:T10" si="11">K9</f>
        <v>1117894.69</v>
      </c>
      <c r="U9" s="244">
        <v>0</v>
      </c>
      <c r="V9" s="244">
        <v>0</v>
      </c>
      <c r="W9" s="245">
        <v>0</v>
      </c>
      <c r="X9" s="245">
        <v>0</v>
      </c>
      <c r="Y9" s="245">
        <v>0</v>
      </c>
      <c r="Z9" s="1" t="b">
        <f t="shared" si="4"/>
        <v>1</v>
      </c>
      <c r="AA9" s="42">
        <f t="shared" si="5"/>
        <v>1</v>
      </c>
      <c r="AB9" s="43" t="b">
        <f t="shared" si="6"/>
        <v>1</v>
      </c>
      <c r="AC9" s="43" t="b">
        <f t="shared" si="7"/>
        <v>1</v>
      </c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59" s="182" customFormat="1" ht="30" customHeight="1" x14ac:dyDescent="0.25">
      <c r="A10" s="253">
        <v>8</v>
      </c>
      <c r="B10" s="50" t="s">
        <v>54</v>
      </c>
      <c r="C10" s="193" t="s">
        <v>86</v>
      </c>
      <c r="D10" s="195" t="s">
        <v>72</v>
      </c>
      <c r="E10" s="195">
        <v>1608</v>
      </c>
      <c r="F10" s="178" t="s">
        <v>73</v>
      </c>
      <c r="G10" s="178" t="s">
        <v>65</v>
      </c>
      <c r="H10" s="179">
        <v>2.0230000000000001</v>
      </c>
      <c r="I10" s="180" t="s">
        <v>231</v>
      </c>
      <c r="J10" s="243">
        <v>1237020.5900000001</v>
      </c>
      <c r="K10" s="219">
        <f t="shared" si="8"/>
        <v>618510.29</v>
      </c>
      <c r="L10" s="287">
        <f t="shared" si="10"/>
        <v>618510.30000000005</v>
      </c>
      <c r="M10" s="279">
        <v>0.5</v>
      </c>
      <c r="N10" s="288">
        <v>0</v>
      </c>
      <c r="O10" s="289">
        <v>0</v>
      </c>
      <c r="P10" s="245">
        <v>0</v>
      </c>
      <c r="Q10" s="245">
        <v>0</v>
      </c>
      <c r="R10" s="245">
        <v>0</v>
      </c>
      <c r="S10" s="244">
        <v>0</v>
      </c>
      <c r="T10" s="244">
        <f t="shared" si="11"/>
        <v>618510.29</v>
      </c>
      <c r="U10" s="244">
        <v>0</v>
      </c>
      <c r="V10" s="244">
        <v>0</v>
      </c>
      <c r="W10" s="245">
        <v>0</v>
      </c>
      <c r="X10" s="245">
        <v>0</v>
      </c>
      <c r="Y10" s="245">
        <v>0</v>
      </c>
      <c r="Z10" s="1" t="b">
        <f t="shared" si="4"/>
        <v>1</v>
      </c>
      <c r="AA10" s="42">
        <f t="shared" si="5"/>
        <v>0.5</v>
      </c>
      <c r="AB10" s="43" t="b">
        <f t="shared" si="6"/>
        <v>1</v>
      </c>
      <c r="AC10" s="43" t="b">
        <f t="shared" si="7"/>
        <v>1</v>
      </c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</row>
    <row r="11" spans="1:59" s="246" customFormat="1" ht="30" customHeight="1" x14ac:dyDescent="0.25">
      <c r="A11" s="253">
        <v>9</v>
      </c>
      <c r="B11" s="50" t="s">
        <v>55</v>
      </c>
      <c r="C11" s="193" t="s">
        <v>86</v>
      </c>
      <c r="D11" s="195" t="s">
        <v>75</v>
      </c>
      <c r="E11" s="195">
        <v>1605</v>
      </c>
      <c r="F11" s="178" t="s">
        <v>76</v>
      </c>
      <c r="G11" s="178" t="s">
        <v>60</v>
      </c>
      <c r="H11" s="179">
        <v>0.66900000000000004</v>
      </c>
      <c r="I11" s="180" t="s">
        <v>204</v>
      </c>
      <c r="J11" s="219">
        <v>2217670.23</v>
      </c>
      <c r="K11" s="219">
        <f t="shared" ref="K11:K13" si="12">ROUNDDOWN(J11*M11,2)</f>
        <v>2217670.23</v>
      </c>
      <c r="L11" s="287">
        <f t="shared" ref="L11:L12" si="13">J11-K11</f>
        <v>0</v>
      </c>
      <c r="M11" s="279">
        <v>1</v>
      </c>
      <c r="N11" s="288">
        <v>0</v>
      </c>
      <c r="O11" s="289">
        <v>0</v>
      </c>
      <c r="P11" s="245">
        <v>0</v>
      </c>
      <c r="Q11" s="245">
        <v>0</v>
      </c>
      <c r="R11" s="245">
        <v>0</v>
      </c>
      <c r="S11" s="244">
        <v>0</v>
      </c>
      <c r="T11" s="244">
        <f t="shared" ref="T11:T13" si="14">K11</f>
        <v>2217670.23</v>
      </c>
      <c r="U11" s="244">
        <v>0</v>
      </c>
      <c r="V11" s="244">
        <v>0</v>
      </c>
      <c r="W11" s="245">
        <v>0</v>
      </c>
      <c r="X11" s="245">
        <v>0</v>
      </c>
      <c r="Y11" s="245">
        <v>0</v>
      </c>
      <c r="Z11" s="1" t="b">
        <f t="shared" si="4"/>
        <v>1</v>
      </c>
      <c r="AA11" s="42">
        <f t="shared" si="5"/>
        <v>1</v>
      </c>
      <c r="AB11" s="43" t="b">
        <f t="shared" si="6"/>
        <v>1</v>
      </c>
      <c r="AC11" s="43" t="b">
        <f t="shared" si="7"/>
        <v>1</v>
      </c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59" s="246" customFormat="1" ht="36.75" customHeight="1" x14ac:dyDescent="0.25">
      <c r="A12" s="253">
        <v>10</v>
      </c>
      <c r="B12" s="50" t="s">
        <v>56</v>
      </c>
      <c r="C12" s="193" t="s">
        <v>86</v>
      </c>
      <c r="D12" s="240" t="s">
        <v>77</v>
      </c>
      <c r="E12" s="240">
        <v>1603</v>
      </c>
      <c r="F12" s="241" t="s">
        <v>78</v>
      </c>
      <c r="G12" s="178" t="s">
        <v>65</v>
      </c>
      <c r="H12" s="179">
        <v>1.113</v>
      </c>
      <c r="I12" s="180" t="s">
        <v>79</v>
      </c>
      <c r="J12" s="290">
        <v>2237612.4700000002</v>
      </c>
      <c r="K12" s="219">
        <f t="shared" ref="K12" si="15">ROUNDDOWN(J12*M12,2)</f>
        <v>2237612.4700000002</v>
      </c>
      <c r="L12" s="287">
        <f t="shared" si="13"/>
        <v>0</v>
      </c>
      <c r="M12" s="279">
        <v>1</v>
      </c>
      <c r="N12" s="288">
        <v>0</v>
      </c>
      <c r="O12" s="289">
        <v>0</v>
      </c>
      <c r="P12" s="245">
        <v>0</v>
      </c>
      <c r="Q12" s="245">
        <v>0</v>
      </c>
      <c r="R12" s="245">
        <v>0</v>
      </c>
      <c r="S12" s="244">
        <v>0</v>
      </c>
      <c r="T12" s="244">
        <f t="shared" ref="T12" si="16">K12</f>
        <v>2237612.4700000002</v>
      </c>
      <c r="U12" s="244">
        <v>0</v>
      </c>
      <c r="V12" s="244">
        <v>0</v>
      </c>
      <c r="W12" s="245">
        <v>0</v>
      </c>
      <c r="X12" s="245">
        <v>0</v>
      </c>
      <c r="Y12" s="245">
        <v>0</v>
      </c>
      <c r="Z12" s="1" t="b">
        <f t="shared" si="4"/>
        <v>1</v>
      </c>
      <c r="AA12" s="42">
        <f t="shared" si="5"/>
        <v>1</v>
      </c>
      <c r="AB12" s="43" t="b">
        <f t="shared" si="6"/>
        <v>1</v>
      </c>
      <c r="AC12" s="43" t="b">
        <f t="shared" si="7"/>
        <v>1</v>
      </c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59" s="182" customFormat="1" ht="30" customHeight="1" x14ac:dyDescent="0.25">
      <c r="A13" s="197">
        <v>11</v>
      </c>
      <c r="B13" s="50" t="s">
        <v>57</v>
      </c>
      <c r="C13" s="193" t="s">
        <v>86</v>
      </c>
      <c r="D13" s="240" t="s">
        <v>80</v>
      </c>
      <c r="E13" s="240">
        <v>1606</v>
      </c>
      <c r="F13" s="241" t="s">
        <v>81</v>
      </c>
      <c r="G13" s="178" t="s">
        <v>69</v>
      </c>
      <c r="H13" s="179">
        <v>1.2135</v>
      </c>
      <c r="I13" s="180" t="s">
        <v>82</v>
      </c>
      <c r="J13" s="291">
        <v>596892.87</v>
      </c>
      <c r="K13" s="219">
        <f t="shared" si="12"/>
        <v>298446.43</v>
      </c>
      <c r="L13" s="287">
        <f t="shared" ref="L13" si="17">J13-K13</f>
        <v>298446.44</v>
      </c>
      <c r="M13" s="279">
        <v>0.5</v>
      </c>
      <c r="N13" s="288">
        <v>0</v>
      </c>
      <c r="O13" s="289">
        <v>0</v>
      </c>
      <c r="P13" s="245">
        <v>0</v>
      </c>
      <c r="Q13" s="245">
        <v>0</v>
      </c>
      <c r="R13" s="245">
        <v>0</v>
      </c>
      <c r="S13" s="244">
        <v>0</v>
      </c>
      <c r="T13" s="244">
        <f t="shared" si="14"/>
        <v>298446.43</v>
      </c>
      <c r="U13" s="244">
        <v>0</v>
      </c>
      <c r="V13" s="292">
        <v>0</v>
      </c>
      <c r="W13" s="293">
        <v>0</v>
      </c>
      <c r="X13" s="293">
        <v>0</v>
      </c>
      <c r="Y13" s="293">
        <v>0</v>
      </c>
      <c r="Z13" s="1" t="b">
        <f t="shared" si="4"/>
        <v>1</v>
      </c>
      <c r="AA13" s="42">
        <f t="shared" si="5"/>
        <v>0.5</v>
      </c>
      <c r="AB13" s="43" t="b">
        <f t="shared" si="6"/>
        <v>1</v>
      </c>
      <c r="AC13" s="43" t="b">
        <f t="shared" si="7"/>
        <v>1</v>
      </c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ht="20.100000000000001" customHeight="1" x14ac:dyDescent="0.25">
      <c r="A14" s="321" t="s">
        <v>44</v>
      </c>
      <c r="B14" s="321"/>
      <c r="C14" s="321"/>
      <c r="D14" s="321"/>
      <c r="E14" s="321"/>
      <c r="F14" s="321"/>
      <c r="G14" s="321"/>
      <c r="H14" s="56">
        <f>SUM(H3:H13)</f>
        <v>15.087529999999999</v>
      </c>
      <c r="I14" s="57" t="s">
        <v>14</v>
      </c>
      <c r="J14" s="58">
        <f>SUM(J3:J13)</f>
        <v>23973193.490000002</v>
      </c>
      <c r="K14" s="58">
        <f>SUM(K3:K13)</f>
        <v>20851863.91</v>
      </c>
      <c r="L14" s="58">
        <f>SUM(L3:L13)</f>
        <v>3121329.5799999996</v>
      </c>
      <c r="M14" s="60" t="s">
        <v>14</v>
      </c>
      <c r="N14" s="59">
        <f t="shared" ref="N14:Y14" si="18">SUM(N3:N13)</f>
        <v>0</v>
      </c>
      <c r="O14" s="59">
        <f t="shared" si="18"/>
        <v>0</v>
      </c>
      <c r="P14" s="61">
        <f t="shared" si="18"/>
        <v>0</v>
      </c>
      <c r="Q14" s="61">
        <f t="shared" si="18"/>
        <v>0</v>
      </c>
      <c r="R14" s="61">
        <f t="shared" si="18"/>
        <v>0</v>
      </c>
      <c r="S14" s="61">
        <f t="shared" si="18"/>
        <v>862380.24</v>
      </c>
      <c r="T14" s="61">
        <f t="shared" si="18"/>
        <v>18984450.669999998</v>
      </c>
      <c r="U14" s="61">
        <f t="shared" si="18"/>
        <v>1005033</v>
      </c>
      <c r="V14" s="61">
        <f t="shared" si="18"/>
        <v>0</v>
      </c>
      <c r="W14" s="61">
        <f t="shared" si="18"/>
        <v>0</v>
      </c>
      <c r="X14" s="61">
        <f t="shared" si="18"/>
        <v>0</v>
      </c>
      <c r="Y14" s="61">
        <f t="shared" si="18"/>
        <v>0</v>
      </c>
    </row>
    <row r="15" spans="1:59" ht="20.100000000000001" customHeight="1" x14ac:dyDescent="0.25">
      <c r="A15" s="320" t="s">
        <v>37</v>
      </c>
      <c r="B15" s="320"/>
      <c r="C15" s="320"/>
      <c r="D15" s="320"/>
      <c r="E15" s="320"/>
      <c r="F15" s="320"/>
      <c r="G15" s="320"/>
      <c r="H15" s="62">
        <f>SUMIF($C$3:$C$13,"K",H3:H13)</f>
        <v>3.47</v>
      </c>
      <c r="I15" s="63" t="s">
        <v>14</v>
      </c>
      <c r="J15" s="64">
        <f>SUMIF($C$3:$C$13,"K",J3:J13)</f>
        <v>2869817.78</v>
      </c>
      <c r="K15" s="64">
        <f>SUMIF($C$3:$C$13,"K",K3:K13)</f>
        <v>2295854.2200000002</v>
      </c>
      <c r="L15" s="64">
        <f>SUMIF($C$3:$C$13,"K",L3:L13)</f>
        <v>573963.55999999959</v>
      </c>
      <c r="M15" s="66" t="s">
        <v>14</v>
      </c>
      <c r="N15" s="65">
        <f t="shared" ref="N15:Y15" si="19">SUMIF($C$3:$C$13,"K",N3:N13)</f>
        <v>0</v>
      </c>
      <c r="O15" s="65">
        <f t="shared" si="19"/>
        <v>0</v>
      </c>
      <c r="P15" s="67">
        <f t="shared" si="19"/>
        <v>0</v>
      </c>
      <c r="Q15" s="67">
        <f t="shared" si="19"/>
        <v>0</v>
      </c>
      <c r="R15" s="67">
        <f t="shared" si="19"/>
        <v>0</v>
      </c>
      <c r="S15" s="67">
        <f t="shared" si="19"/>
        <v>862380.24</v>
      </c>
      <c r="T15" s="67">
        <f t="shared" si="19"/>
        <v>1433473.98</v>
      </c>
      <c r="U15" s="67">
        <f t="shared" si="19"/>
        <v>0</v>
      </c>
      <c r="V15" s="67">
        <f t="shared" si="19"/>
        <v>0</v>
      </c>
      <c r="W15" s="67">
        <f t="shared" si="19"/>
        <v>0</v>
      </c>
      <c r="X15" s="67">
        <f t="shared" si="19"/>
        <v>0</v>
      </c>
      <c r="Y15" s="67">
        <f t="shared" si="19"/>
        <v>0</v>
      </c>
    </row>
    <row r="16" spans="1:59" ht="20.100000000000001" customHeight="1" x14ac:dyDescent="0.25">
      <c r="A16" s="321" t="s">
        <v>38</v>
      </c>
      <c r="B16" s="321"/>
      <c r="C16" s="321"/>
      <c r="D16" s="321"/>
      <c r="E16" s="321"/>
      <c r="F16" s="321"/>
      <c r="G16" s="321"/>
      <c r="H16" s="56">
        <f>SUMIF($C$3:$C$13,"N",H3:H13)</f>
        <v>9.3419000000000008</v>
      </c>
      <c r="I16" s="57" t="s">
        <v>14</v>
      </c>
      <c r="J16" s="58">
        <f>SUMIF($C$3:$C$13,"N",J3:J13)</f>
        <v>12467667.48</v>
      </c>
      <c r="K16" s="58">
        <f>SUMIF($C$3:$C$13,"N",K3:K13)</f>
        <v>11550710.74</v>
      </c>
      <c r="L16" s="58">
        <f>SUMIF($C$3:$C$13,"N",L3:L13)</f>
        <v>916956.74</v>
      </c>
      <c r="M16" s="60" t="s">
        <v>14</v>
      </c>
      <c r="N16" s="59">
        <f ca="1">SUMIF($C$3:$C$13,"N",N4:N13)</f>
        <v>0</v>
      </c>
      <c r="O16" s="59">
        <f t="shared" ref="O16:Y16" si="20">SUMIF($C$3:$C$13,"N",O3:O13)</f>
        <v>0</v>
      </c>
      <c r="P16" s="61">
        <f t="shared" si="20"/>
        <v>0</v>
      </c>
      <c r="Q16" s="61">
        <f t="shared" si="20"/>
        <v>0</v>
      </c>
      <c r="R16" s="61">
        <f t="shared" si="20"/>
        <v>0</v>
      </c>
      <c r="S16" s="61">
        <f t="shared" si="20"/>
        <v>0</v>
      </c>
      <c r="T16" s="61">
        <f t="shared" si="20"/>
        <v>11550710.74</v>
      </c>
      <c r="U16" s="61">
        <f t="shared" si="20"/>
        <v>0</v>
      </c>
      <c r="V16" s="61">
        <f t="shared" si="20"/>
        <v>0</v>
      </c>
      <c r="W16" s="61">
        <f t="shared" si="20"/>
        <v>0</v>
      </c>
      <c r="X16" s="61">
        <f t="shared" si="20"/>
        <v>0</v>
      </c>
      <c r="Y16" s="61">
        <f t="shared" si="20"/>
        <v>0</v>
      </c>
    </row>
    <row r="17" spans="1:25" ht="20.100000000000001" customHeight="1" x14ac:dyDescent="0.25">
      <c r="A17" s="320" t="s">
        <v>39</v>
      </c>
      <c r="B17" s="320"/>
      <c r="C17" s="320"/>
      <c r="D17" s="320"/>
      <c r="E17" s="320"/>
      <c r="F17" s="320"/>
      <c r="G17" s="320"/>
      <c r="H17" s="62">
        <f>SUMIF($C$3:$C$13,"W",H3:H13)</f>
        <v>2.27563</v>
      </c>
      <c r="I17" s="63" t="s">
        <v>14</v>
      </c>
      <c r="J17" s="64">
        <f>SUMIF($C$3:$C$13,"W",J3:J13)</f>
        <v>8635708.2300000004</v>
      </c>
      <c r="K17" s="65">
        <f>SUMIF($C$3:$C$13,"W",K3:K13)</f>
        <v>7005298.9500000002</v>
      </c>
      <c r="L17" s="65">
        <f>SUMIF($C$3:$C$13,"W",L3:L13)</f>
        <v>1630409.28</v>
      </c>
      <c r="M17" s="66" t="s">
        <v>14</v>
      </c>
      <c r="N17" s="65">
        <f t="shared" ref="N17:Y17" si="21">SUMIF($C$3:$C$13,"W",N3:N13)</f>
        <v>0</v>
      </c>
      <c r="O17" s="65">
        <f t="shared" si="21"/>
        <v>0</v>
      </c>
      <c r="P17" s="67">
        <f t="shared" si="21"/>
        <v>0</v>
      </c>
      <c r="Q17" s="67">
        <f t="shared" si="21"/>
        <v>0</v>
      </c>
      <c r="R17" s="67">
        <f t="shared" si="21"/>
        <v>0</v>
      </c>
      <c r="S17" s="67">
        <f t="shared" si="21"/>
        <v>0</v>
      </c>
      <c r="T17" s="67">
        <f t="shared" si="21"/>
        <v>6000265.9500000002</v>
      </c>
      <c r="U17" s="67">
        <f t="shared" si="21"/>
        <v>1005033</v>
      </c>
      <c r="V17" s="67">
        <f t="shared" si="21"/>
        <v>0</v>
      </c>
      <c r="W17" s="67">
        <f t="shared" si="21"/>
        <v>0</v>
      </c>
      <c r="X17" s="67">
        <f t="shared" si="21"/>
        <v>0</v>
      </c>
      <c r="Y17" s="67">
        <f t="shared" si="21"/>
        <v>0</v>
      </c>
    </row>
    <row r="18" spans="1:25" x14ac:dyDescent="0.25">
      <c r="A18" s="33"/>
      <c r="B18" s="33"/>
      <c r="C18" s="33"/>
      <c r="D18" s="33"/>
      <c r="E18" s="33"/>
      <c r="F18" s="33"/>
      <c r="G18" s="33"/>
    </row>
    <row r="19" spans="1:25" x14ac:dyDescent="0.25">
      <c r="A19" s="31" t="s">
        <v>24</v>
      </c>
      <c r="B19" s="31"/>
      <c r="C19" s="31"/>
      <c r="D19" s="31"/>
      <c r="E19" s="31"/>
      <c r="F19" s="31"/>
      <c r="G19" s="31"/>
      <c r="H19" s="13"/>
      <c r="I19" s="13"/>
      <c r="J19" s="5"/>
      <c r="K19" s="13"/>
      <c r="L19" s="13"/>
      <c r="M19" s="203"/>
      <c r="N19" s="13"/>
      <c r="O19" s="13"/>
      <c r="P19" s="13"/>
      <c r="Q19" s="13"/>
      <c r="R19" s="13"/>
      <c r="S19" s="30"/>
      <c r="T19" s="273"/>
      <c r="U19" s="13"/>
      <c r="V19" s="13"/>
      <c r="W19" s="13"/>
      <c r="X19" s="13"/>
      <c r="Y19" s="13"/>
    </row>
    <row r="20" spans="1:25" x14ac:dyDescent="0.25">
      <c r="A20" s="32" t="s">
        <v>25</v>
      </c>
      <c r="B20" s="32"/>
      <c r="C20" s="32"/>
      <c r="D20" s="32"/>
      <c r="E20" s="32"/>
      <c r="F20" s="32"/>
      <c r="G20" s="32"/>
      <c r="H20" s="13"/>
      <c r="I20" s="13"/>
      <c r="J20" s="29"/>
      <c r="K20" s="13"/>
      <c r="L20" s="13"/>
      <c r="N20" s="13"/>
      <c r="O20" s="13"/>
      <c r="P20" s="13"/>
      <c r="Q20" s="13"/>
      <c r="R20" s="13"/>
      <c r="S20" s="274"/>
      <c r="T20" s="273"/>
      <c r="U20" s="13"/>
      <c r="V20" s="13"/>
      <c r="W20" s="13"/>
      <c r="X20" s="13"/>
      <c r="Y20" s="13"/>
    </row>
    <row r="21" spans="1:25" x14ac:dyDescent="0.25">
      <c r="A21" s="31" t="s">
        <v>42</v>
      </c>
      <c r="B21" s="33"/>
      <c r="C21" s="33"/>
      <c r="D21" s="33"/>
      <c r="E21" s="33"/>
      <c r="F21" s="33"/>
      <c r="G21" s="33"/>
      <c r="J21" s="28"/>
      <c r="S21" s="2"/>
      <c r="T21" s="275"/>
    </row>
    <row r="22" spans="1:25" x14ac:dyDescent="0.25">
      <c r="A22" s="34" t="s">
        <v>46</v>
      </c>
      <c r="B22" s="34"/>
      <c r="C22" s="34"/>
      <c r="D22" s="34"/>
      <c r="E22" s="34"/>
      <c r="F22" s="34"/>
      <c r="G22" s="34"/>
      <c r="J22" s="28"/>
    </row>
    <row r="24" spans="1:25" x14ac:dyDescent="0.25">
      <c r="B24"/>
      <c r="C24"/>
      <c r="D24"/>
      <c r="E24"/>
    </row>
    <row r="25" spans="1:25" x14ac:dyDescent="0.25">
      <c r="B25"/>
      <c r="C25"/>
      <c r="D25"/>
      <c r="E25"/>
    </row>
    <row r="26" spans="1:25" x14ac:dyDescent="0.25">
      <c r="B26"/>
      <c r="C26"/>
      <c r="D26"/>
      <c r="E26"/>
    </row>
    <row r="27" spans="1:25" x14ac:dyDescent="0.25">
      <c r="B27"/>
      <c r="C27"/>
      <c r="D27"/>
      <c r="E27"/>
    </row>
    <row r="28" spans="1:25" x14ac:dyDescent="0.25">
      <c r="B28"/>
      <c r="C28"/>
      <c r="D28"/>
      <c r="E28"/>
    </row>
    <row r="29" spans="1:25" x14ac:dyDescent="0.25">
      <c r="B29"/>
      <c r="C29"/>
      <c r="D29"/>
      <c r="E29"/>
    </row>
    <row r="30" spans="1:25" x14ac:dyDescent="0.25">
      <c r="B30"/>
      <c r="C30"/>
      <c r="D30"/>
      <c r="E30"/>
    </row>
  </sheetData>
  <autoFilter ref="A1:AC17" xr:uid="{00000000-0009-0000-0000-000001000000}"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8">
    <mergeCell ref="D1:D2"/>
    <mergeCell ref="A17:G17"/>
    <mergeCell ref="A16:G16"/>
    <mergeCell ref="E1:E2"/>
    <mergeCell ref="A14:G14"/>
    <mergeCell ref="A1:A2"/>
    <mergeCell ref="B1:B2"/>
    <mergeCell ref="C1:C2"/>
    <mergeCell ref="F1:F2"/>
    <mergeCell ref="G1:G2"/>
    <mergeCell ref="A15:G15"/>
    <mergeCell ref="H1:H2"/>
    <mergeCell ref="I1:I2"/>
    <mergeCell ref="J1:J2"/>
    <mergeCell ref="K1:K2"/>
    <mergeCell ref="N1:Y1"/>
    <mergeCell ref="L1:L2"/>
    <mergeCell ref="M1:M2"/>
  </mergeCells>
  <conditionalFormatting sqref="Z3:AB13">
    <cfRule type="containsText" dxfId="8" priority="2" operator="containsText" text="fałsz">
      <formula>NOT(ISERROR(SEARCH("fałsz",Z3)))</formula>
    </cfRule>
  </conditionalFormatting>
  <conditionalFormatting sqref="Z3:AC13">
    <cfRule type="cellIs" dxfId="7" priority="1" operator="equal">
      <formula>FALSE</formula>
    </cfRule>
  </conditionalFormatting>
  <dataValidations count="2">
    <dataValidation type="list" allowBlank="1" showInputMessage="1" showErrorMessage="1" sqref="C3:C13" xr:uid="{00000000-0002-0000-0100-000000000000}">
      <formula1>"N,K,W"</formula1>
    </dataValidation>
    <dataValidation type="list" allowBlank="1" showInputMessage="1" showErrorMessage="1" sqref="G3:G13" xr:uid="{00000000-0002-0000-0100-000001000000}">
      <formula1>"B,P,R"</formula1>
    </dataValidation>
  </dataValidations>
  <pageMargins left="0.25" right="0.25" top="0.75" bottom="0.75" header="0.3" footer="0.3"/>
  <pageSetup paperSize="8" scale="71" fitToHeight="0" orientation="landscape" r:id="rId1"/>
  <headerFooter>
    <oddHeader>&amp;LWojewództwo &amp;KFF0000OPOLSKIE&amp;K01+000 -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S47"/>
  <sheetViews>
    <sheetView showGridLines="0" topLeftCell="A19" zoomScale="80" zoomScaleNormal="80" zoomScaleSheetLayoutView="80" workbookViewId="0">
      <selection activeCell="A33" sqref="A33"/>
    </sheetView>
  </sheetViews>
  <sheetFormatPr defaultColWidth="9.28515625" defaultRowHeight="15" x14ac:dyDescent="0.25"/>
  <cols>
    <col min="1" max="1" width="5.28515625" style="207" customWidth="1"/>
    <col min="2" max="2" width="15.28515625" style="207" customWidth="1"/>
    <col min="3" max="3" width="10.42578125" style="207" customWidth="1"/>
    <col min="4" max="4" width="15.7109375" style="233" customWidth="1"/>
    <col min="5" max="5" width="9.7109375" style="233" customWidth="1"/>
    <col min="6" max="6" width="15.7109375" style="233" customWidth="1"/>
    <col min="7" max="7" width="43.42578125" style="233" customWidth="1"/>
    <col min="8" max="8" width="7.7109375" style="207" customWidth="1"/>
    <col min="9" max="9" width="8" style="207" customWidth="1"/>
    <col min="10" max="10" width="14.42578125" style="233" customWidth="1"/>
    <col min="11" max="11" width="14.42578125" style="237" customWidth="1"/>
    <col min="12" max="12" width="14.42578125" style="207" customWidth="1"/>
    <col min="13" max="13" width="14.28515625" style="207" customWidth="1"/>
    <col min="14" max="14" width="14.7109375" style="235" customWidth="1"/>
    <col min="15" max="19" width="6.28515625" style="207" customWidth="1"/>
    <col min="20" max="20" width="13.7109375" style="207" customWidth="1"/>
    <col min="21" max="21" width="15.42578125" style="207" customWidth="1"/>
    <col min="22" max="23" width="11.7109375" style="207" customWidth="1"/>
    <col min="24" max="26" width="8.140625" style="207" customWidth="1"/>
    <col min="27" max="30" width="15.7109375" customWidth="1"/>
    <col min="72" max="16384" width="9.28515625" style="207"/>
  </cols>
  <sheetData>
    <row r="1" spans="1:71" ht="20.100000000000001" customHeight="1" x14ac:dyDescent="0.25">
      <c r="A1" s="336" t="s">
        <v>4</v>
      </c>
      <c r="B1" s="332" t="s">
        <v>5</v>
      </c>
      <c r="C1" s="337" t="s">
        <v>43</v>
      </c>
      <c r="D1" s="333" t="s">
        <v>6</v>
      </c>
      <c r="E1" s="332" t="s">
        <v>32</v>
      </c>
      <c r="F1" s="333" t="s">
        <v>15</v>
      </c>
      <c r="G1" s="332" t="s">
        <v>7</v>
      </c>
      <c r="H1" s="332" t="s">
        <v>26</v>
      </c>
      <c r="I1" s="332" t="s">
        <v>8</v>
      </c>
      <c r="J1" s="332" t="s">
        <v>27</v>
      </c>
      <c r="K1" s="335" t="s">
        <v>9</v>
      </c>
      <c r="L1" s="332" t="s">
        <v>17</v>
      </c>
      <c r="M1" s="333" t="s">
        <v>13</v>
      </c>
      <c r="N1" s="332" t="s">
        <v>11</v>
      </c>
      <c r="O1" s="324" t="s">
        <v>12</v>
      </c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</row>
    <row r="2" spans="1:71" ht="20.100000000000001" customHeight="1" x14ac:dyDescent="0.25">
      <c r="A2" s="336"/>
      <c r="B2" s="332"/>
      <c r="C2" s="324"/>
      <c r="D2" s="334"/>
      <c r="E2" s="332"/>
      <c r="F2" s="334"/>
      <c r="G2" s="332"/>
      <c r="H2" s="332"/>
      <c r="I2" s="332"/>
      <c r="J2" s="332"/>
      <c r="K2" s="335"/>
      <c r="L2" s="332"/>
      <c r="M2" s="334"/>
      <c r="N2" s="332"/>
      <c r="O2" s="208">
        <v>2019</v>
      </c>
      <c r="P2" s="208">
        <v>2020</v>
      </c>
      <c r="Q2" s="208">
        <v>2021</v>
      </c>
      <c r="R2" s="208">
        <v>2022</v>
      </c>
      <c r="S2" s="208">
        <v>2023</v>
      </c>
      <c r="T2" s="208">
        <v>2024</v>
      </c>
      <c r="U2" s="208">
        <v>2025</v>
      </c>
      <c r="V2" s="208">
        <v>2026</v>
      </c>
      <c r="W2" s="208">
        <v>2027</v>
      </c>
      <c r="X2" s="208">
        <v>2028</v>
      </c>
      <c r="Y2" s="208">
        <v>2029</v>
      </c>
      <c r="Z2" s="208">
        <v>2030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71" ht="26.25" customHeight="1" x14ac:dyDescent="0.25">
      <c r="A3" s="254">
        <v>1</v>
      </c>
      <c r="B3" s="184" t="s">
        <v>120</v>
      </c>
      <c r="C3" s="192" t="s">
        <v>87</v>
      </c>
      <c r="D3" s="184" t="s">
        <v>121</v>
      </c>
      <c r="E3" s="209">
        <v>1609052</v>
      </c>
      <c r="F3" s="209" t="s">
        <v>58</v>
      </c>
      <c r="G3" s="209" t="s">
        <v>122</v>
      </c>
      <c r="H3" s="184" t="s">
        <v>60</v>
      </c>
      <c r="I3" s="215">
        <v>0.38600000000000001</v>
      </c>
      <c r="J3" s="211" t="s">
        <v>123</v>
      </c>
      <c r="K3" s="212">
        <v>1388538.78</v>
      </c>
      <c r="L3" s="213">
        <f t="shared" ref="L3" si="0">ROUNDDOWN(K3*N3,2)</f>
        <v>833123.26</v>
      </c>
      <c r="M3" s="211">
        <f t="shared" ref="M3:M11" si="1">K3-L3</f>
        <v>555415.52</v>
      </c>
      <c r="N3" s="214">
        <v>0.6</v>
      </c>
      <c r="O3" s="213">
        <v>0</v>
      </c>
      <c r="P3" s="213">
        <v>0</v>
      </c>
      <c r="Q3" s="212">
        <v>0</v>
      </c>
      <c r="R3" s="212">
        <v>0</v>
      </c>
      <c r="S3" s="212">
        <v>0</v>
      </c>
      <c r="T3" s="213">
        <v>300297.59999999998</v>
      </c>
      <c r="U3" s="213">
        <v>532825.66</v>
      </c>
      <c r="V3" s="213">
        <v>0</v>
      </c>
      <c r="W3" s="212">
        <v>0</v>
      </c>
      <c r="X3" s="212">
        <v>0</v>
      </c>
      <c r="Y3" s="212">
        <v>0</v>
      </c>
      <c r="Z3" s="212">
        <v>0</v>
      </c>
      <c r="AA3" s="1" t="b">
        <f>L3=SUM(O3:Z3)</f>
        <v>1</v>
      </c>
      <c r="AB3" s="42">
        <f t="shared" ref="AB3" si="2">ROUND(L3/K3,4)</f>
        <v>0.6</v>
      </c>
      <c r="AC3" s="43" t="b">
        <f t="shared" ref="AC3" si="3">AB3=N3</f>
        <v>1</v>
      </c>
      <c r="AD3" s="43" t="b">
        <f t="shared" ref="AD3" si="4">K3=L3+M3</f>
        <v>1</v>
      </c>
    </row>
    <row r="4" spans="1:71" ht="37.5" customHeight="1" x14ac:dyDescent="0.25">
      <c r="A4" s="254">
        <v>2</v>
      </c>
      <c r="B4" s="184" t="s">
        <v>124</v>
      </c>
      <c r="C4" s="192" t="s">
        <v>87</v>
      </c>
      <c r="D4" s="184" t="s">
        <v>111</v>
      </c>
      <c r="E4" s="184">
        <v>1603011</v>
      </c>
      <c r="F4" s="184" t="s">
        <v>125</v>
      </c>
      <c r="G4" s="184" t="s">
        <v>126</v>
      </c>
      <c r="H4" s="184" t="s">
        <v>60</v>
      </c>
      <c r="I4" s="215">
        <v>0.62</v>
      </c>
      <c r="J4" s="211" t="s">
        <v>127</v>
      </c>
      <c r="K4" s="212">
        <v>2147398.8199999998</v>
      </c>
      <c r="L4" s="213">
        <v>970355.17</v>
      </c>
      <c r="M4" s="211">
        <f t="shared" si="1"/>
        <v>1177043.6499999999</v>
      </c>
      <c r="N4" s="216">
        <v>0.45190000000000002</v>
      </c>
      <c r="O4" s="213">
        <v>0</v>
      </c>
      <c r="P4" s="213">
        <v>0</v>
      </c>
      <c r="Q4" s="212">
        <v>0</v>
      </c>
      <c r="R4" s="212">
        <v>0</v>
      </c>
      <c r="S4" s="212">
        <v>0</v>
      </c>
      <c r="T4" s="213">
        <v>970355.17</v>
      </c>
      <c r="U4" s="213">
        <v>0</v>
      </c>
      <c r="V4" s="213">
        <v>0</v>
      </c>
      <c r="W4" s="212">
        <v>0</v>
      </c>
      <c r="X4" s="212">
        <v>0</v>
      </c>
      <c r="Y4" s="212">
        <v>0</v>
      </c>
      <c r="Z4" s="212">
        <v>0</v>
      </c>
      <c r="AA4" s="1" t="b">
        <f t="shared" ref="AA4:AA31" si="5">L4=SUM(O4:Z4)</f>
        <v>1</v>
      </c>
      <c r="AB4" s="42">
        <f t="shared" ref="AB4:AB31" si="6">ROUND(L4/K4,4)</f>
        <v>0.45190000000000002</v>
      </c>
      <c r="AC4" s="43" t="b">
        <f t="shared" ref="AC4:AC31" si="7">AB4=N4</f>
        <v>1</v>
      </c>
      <c r="AD4" s="43" t="b">
        <f t="shared" ref="AD4:AD31" si="8">K4=L4+M4</f>
        <v>1</v>
      </c>
    </row>
    <row r="5" spans="1:71" ht="30" customHeight="1" x14ac:dyDescent="0.25">
      <c r="A5" s="254">
        <v>3</v>
      </c>
      <c r="B5" s="184" t="s">
        <v>128</v>
      </c>
      <c r="C5" s="192" t="s">
        <v>87</v>
      </c>
      <c r="D5" s="184" t="s">
        <v>108</v>
      </c>
      <c r="E5" s="209">
        <v>1601011</v>
      </c>
      <c r="F5" s="209" t="s">
        <v>63</v>
      </c>
      <c r="G5" s="209" t="s">
        <v>129</v>
      </c>
      <c r="H5" s="184" t="s">
        <v>65</v>
      </c>
      <c r="I5" s="215">
        <v>0.55700000000000005</v>
      </c>
      <c r="J5" s="211" t="s">
        <v>130</v>
      </c>
      <c r="K5" s="212">
        <v>15575964.119999999</v>
      </c>
      <c r="L5" s="213">
        <v>11605249.48</v>
      </c>
      <c r="M5" s="211">
        <f t="shared" si="1"/>
        <v>3970714.6399999987</v>
      </c>
      <c r="N5" s="216">
        <v>0.74509999999999998</v>
      </c>
      <c r="O5" s="213">
        <v>0</v>
      </c>
      <c r="P5" s="213">
        <v>0</v>
      </c>
      <c r="Q5" s="212">
        <v>0</v>
      </c>
      <c r="R5" s="212">
        <v>0</v>
      </c>
      <c r="S5" s="212">
        <v>0</v>
      </c>
      <c r="T5" s="213">
        <v>3955960.44</v>
      </c>
      <c r="U5" s="213">
        <v>5661938.2800000003</v>
      </c>
      <c r="V5" s="213">
        <v>1987350.7600000007</v>
      </c>
      <c r="W5" s="212">
        <v>0</v>
      </c>
      <c r="X5" s="212">
        <v>0</v>
      </c>
      <c r="Y5" s="212">
        <v>0</v>
      </c>
      <c r="Z5" s="212">
        <v>0</v>
      </c>
      <c r="AA5" s="1" t="b">
        <f t="shared" si="5"/>
        <v>1</v>
      </c>
      <c r="AB5" s="42">
        <f t="shared" si="6"/>
        <v>0.74509999999999998</v>
      </c>
      <c r="AC5" s="43" t="b">
        <f t="shared" si="7"/>
        <v>1</v>
      </c>
      <c r="AD5" s="43" t="b">
        <f t="shared" si="8"/>
        <v>1</v>
      </c>
    </row>
    <row r="6" spans="1:71" ht="30" customHeight="1" x14ac:dyDescent="0.25">
      <c r="A6" s="254">
        <v>4</v>
      </c>
      <c r="B6" s="184" t="s">
        <v>131</v>
      </c>
      <c r="C6" s="192" t="s">
        <v>87</v>
      </c>
      <c r="D6" s="184" t="s">
        <v>103</v>
      </c>
      <c r="E6" s="209">
        <v>1610043</v>
      </c>
      <c r="F6" s="209" t="s">
        <v>61</v>
      </c>
      <c r="G6" s="209" t="s">
        <v>132</v>
      </c>
      <c r="H6" s="184" t="s">
        <v>65</v>
      </c>
      <c r="I6" s="215">
        <v>1.24634</v>
      </c>
      <c r="J6" s="211" t="s">
        <v>240</v>
      </c>
      <c r="K6" s="212">
        <v>5862837.3499999996</v>
      </c>
      <c r="L6" s="213">
        <v>4567466.68</v>
      </c>
      <c r="M6" s="211">
        <f t="shared" si="1"/>
        <v>1295370.67</v>
      </c>
      <c r="N6" s="216">
        <v>0.77910000000000001</v>
      </c>
      <c r="O6" s="213">
        <v>0</v>
      </c>
      <c r="P6" s="213">
        <v>0</v>
      </c>
      <c r="Q6" s="212">
        <v>0</v>
      </c>
      <c r="R6" s="212">
        <v>0</v>
      </c>
      <c r="S6" s="212">
        <v>0</v>
      </c>
      <c r="T6" s="213">
        <v>3095987.81</v>
      </c>
      <c r="U6" s="213">
        <v>1471478.8699999996</v>
      </c>
      <c r="V6" s="213">
        <v>0</v>
      </c>
      <c r="W6" s="212">
        <v>0</v>
      </c>
      <c r="X6" s="212">
        <v>0</v>
      </c>
      <c r="Y6" s="212">
        <v>0</v>
      </c>
      <c r="Z6" s="212">
        <v>0</v>
      </c>
      <c r="AA6" s="1" t="b">
        <f t="shared" si="5"/>
        <v>1</v>
      </c>
      <c r="AB6" s="42">
        <f t="shared" si="6"/>
        <v>0.77910000000000001</v>
      </c>
      <c r="AC6" s="43" t="b">
        <f t="shared" si="7"/>
        <v>1</v>
      </c>
      <c r="AD6" s="43" t="b">
        <f t="shared" si="8"/>
        <v>1</v>
      </c>
    </row>
    <row r="7" spans="1:71" ht="30" customHeight="1" x14ac:dyDescent="0.25">
      <c r="A7" s="254">
        <v>5</v>
      </c>
      <c r="B7" s="184" t="s">
        <v>133</v>
      </c>
      <c r="C7" s="192" t="s">
        <v>87</v>
      </c>
      <c r="D7" s="184" t="s">
        <v>134</v>
      </c>
      <c r="E7" s="209">
        <v>1601033</v>
      </c>
      <c r="F7" s="209" t="s">
        <v>63</v>
      </c>
      <c r="G7" s="209" t="s">
        <v>135</v>
      </c>
      <c r="H7" s="184" t="s">
        <v>60</v>
      </c>
      <c r="I7" s="215">
        <v>0.32</v>
      </c>
      <c r="J7" s="211" t="s">
        <v>214</v>
      </c>
      <c r="K7" s="212">
        <v>1975602.31</v>
      </c>
      <c r="L7" s="213">
        <f t="shared" ref="L7:L11" si="9">ROUNDDOWN(K7*N7,2)</f>
        <v>1185361.3799999999</v>
      </c>
      <c r="M7" s="211">
        <f t="shared" si="1"/>
        <v>790240.93000000017</v>
      </c>
      <c r="N7" s="214">
        <v>0.6</v>
      </c>
      <c r="O7" s="213">
        <v>0</v>
      </c>
      <c r="P7" s="213">
        <v>0</v>
      </c>
      <c r="Q7" s="212">
        <v>0</v>
      </c>
      <c r="R7" s="212">
        <v>0</v>
      </c>
      <c r="S7" s="212">
        <v>0</v>
      </c>
      <c r="T7" s="213">
        <v>550762.66</v>
      </c>
      <c r="U7" s="213">
        <v>634598.72</v>
      </c>
      <c r="V7" s="213">
        <v>0</v>
      </c>
      <c r="W7" s="212">
        <v>0</v>
      </c>
      <c r="X7" s="212">
        <v>0</v>
      </c>
      <c r="Y7" s="212">
        <v>0</v>
      </c>
      <c r="Z7" s="212">
        <v>0</v>
      </c>
      <c r="AA7" s="1" t="b">
        <f t="shared" si="5"/>
        <v>1</v>
      </c>
      <c r="AB7" s="42">
        <f t="shared" si="6"/>
        <v>0.6</v>
      </c>
      <c r="AC7" s="43" t="b">
        <f t="shared" si="7"/>
        <v>1</v>
      </c>
      <c r="AD7" s="43" t="b">
        <f t="shared" si="8"/>
        <v>1</v>
      </c>
    </row>
    <row r="8" spans="1:71" ht="30" customHeight="1" x14ac:dyDescent="0.25">
      <c r="A8" s="254">
        <v>6</v>
      </c>
      <c r="B8" s="184" t="s">
        <v>136</v>
      </c>
      <c r="C8" s="184" t="s">
        <v>87</v>
      </c>
      <c r="D8" s="184" t="s">
        <v>108</v>
      </c>
      <c r="E8" s="217">
        <v>1601011</v>
      </c>
      <c r="F8" s="184" t="s">
        <v>63</v>
      </c>
      <c r="G8" s="184" t="s">
        <v>137</v>
      </c>
      <c r="H8" s="184" t="s">
        <v>60</v>
      </c>
      <c r="I8" s="215">
        <v>0.13800000000000001</v>
      </c>
      <c r="J8" s="211" t="s">
        <v>147</v>
      </c>
      <c r="K8" s="212">
        <v>1622839.83</v>
      </c>
      <c r="L8" s="213">
        <f t="shared" si="9"/>
        <v>1298271.8600000001</v>
      </c>
      <c r="M8" s="211">
        <f t="shared" si="1"/>
        <v>324567.96999999997</v>
      </c>
      <c r="N8" s="214">
        <v>0.8</v>
      </c>
      <c r="O8" s="213">
        <v>0</v>
      </c>
      <c r="P8" s="213">
        <v>0</v>
      </c>
      <c r="Q8" s="212">
        <v>0</v>
      </c>
      <c r="R8" s="212">
        <v>0</v>
      </c>
      <c r="S8" s="212">
        <v>0</v>
      </c>
      <c r="T8" s="213">
        <v>1105440.53</v>
      </c>
      <c r="U8" s="213">
        <v>192831.33000000007</v>
      </c>
      <c r="V8" s="213">
        <v>0</v>
      </c>
      <c r="W8" s="212">
        <v>0</v>
      </c>
      <c r="X8" s="212">
        <v>0</v>
      </c>
      <c r="Y8" s="212">
        <v>0</v>
      </c>
      <c r="Z8" s="212">
        <v>0</v>
      </c>
      <c r="AA8" s="1" t="b">
        <f t="shared" si="5"/>
        <v>1</v>
      </c>
      <c r="AB8" s="42">
        <f t="shared" si="6"/>
        <v>0.8</v>
      </c>
      <c r="AC8" s="43" t="b">
        <f t="shared" si="7"/>
        <v>1</v>
      </c>
      <c r="AD8" s="43" t="b">
        <f t="shared" si="8"/>
        <v>1</v>
      </c>
    </row>
    <row r="9" spans="1:71" ht="30" customHeight="1" x14ac:dyDescent="0.25">
      <c r="A9" s="254">
        <v>7</v>
      </c>
      <c r="B9" s="184" t="s">
        <v>138</v>
      </c>
      <c r="C9" s="192" t="s">
        <v>87</v>
      </c>
      <c r="D9" s="184" t="s">
        <v>139</v>
      </c>
      <c r="E9" s="218">
        <v>1611022</v>
      </c>
      <c r="F9" s="209" t="s">
        <v>66</v>
      </c>
      <c r="G9" s="209" t="s">
        <v>140</v>
      </c>
      <c r="H9" s="184" t="s">
        <v>65</v>
      </c>
      <c r="I9" s="215">
        <v>0.44400000000000001</v>
      </c>
      <c r="J9" s="211" t="s">
        <v>148</v>
      </c>
      <c r="K9" s="212">
        <v>1722692.17</v>
      </c>
      <c r="L9" s="213">
        <f t="shared" si="9"/>
        <v>1205884.51</v>
      </c>
      <c r="M9" s="211">
        <f t="shared" si="1"/>
        <v>516807.65999999992</v>
      </c>
      <c r="N9" s="214">
        <v>0.7</v>
      </c>
      <c r="O9" s="213">
        <v>0</v>
      </c>
      <c r="P9" s="213">
        <v>0</v>
      </c>
      <c r="Q9" s="212">
        <v>0</v>
      </c>
      <c r="R9" s="212">
        <v>0</v>
      </c>
      <c r="S9" s="212">
        <v>0</v>
      </c>
      <c r="T9" s="213">
        <v>1205884.51</v>
      </c>
      <c r="U9" s="213">
        <v>0</v>
      </c>
      <c r="V9" s="213">
        <v>0</v>
      </c>
      <c r="W9" s="212">
        <v>0</v>
      </c>
      <c r="X9" s="212">
        <v>0</v>
      </c>
      <c r="Y9" s="212">
        <v>0</v>
      </c>
      <c r="Z9" s="212">
        <v>0</v>
      </c>
      <c r="AA9" s="1" t="b">
        <f t="shared" si="5"/>
        <v>1</v>
      </c>
      <c r="AB9" s="42">
        <f t="shared" si="6"/>
        <v>0.7</v>
      </c>
      <c r="AC9" s="43" t="b">
        <f t="shared" si="7"/>
        <v>1</v>
      </c>
      <c r="AD9" s="43" t="b">
        <f t="shared" si="8"/>
        <v>1</v>
      </c>
    </row>
    <row r="10" spans="1:71" ht="39" customHeight="1" x14ac:dyDescent="0.25">
      <c r="A10" s="254">
        <v>8</v>
      </c>
      <c r="B10" s="184" t="s">
        <v>141</v>
      </c>
      <c r="C10" s="192" t="s">
        <v>87</v>
      </c>
      <c r="D10" s="184" t="s">
        <v>142</v>
      </c>
      <c r="E10" s="218">
        <v>1606023</v>
      </c>
      <c r="F10" s="209" t="s">
        <v>80</v>
      </c>
      <c r="G10" s="209" t="s">
        <v>143</v>
      </c>
      <c r="H10" s="184" t="s">
        <v>60</v>
      </c>
      <c r="I10" s="215">
        <v>1.085</v>
      </c>
      <c r="J10" s="211" t="s">
        <v>144</v>
      </c>
      <c r="K10" s="212">
        <v>3191535.04</v>
      </c>
      <c r="L10" s="213">
        <f t="shared" si="9"/>
        <v>1914921.02</v>
      </c>
      <c r="M10" s="211">
        <f t="shared" si="1"/>
        <v>1276614.02</v>
      </c>
      <c r="N10" s="214">
        <v>0.6</v>
      </c>
      <c r="O10" s="213">
        <v>0</v>
      </c>
      <c r="P10" s="213">
        <v>0</v>
      </c>
      <c r="Q10" s="212">
        <v>0</v>
      </c>
      <c r="R10" s="212">
        <v>0</v>
      </c>
      <c r="S10" s="212">
        <v>0</v>
      </c>
      <c r="T10" s="213">
        <v>1539412.84</v>
      </c>
      <c r="U10" s="213">
        <v>375508.17999999993</v>
      </c>
      <c r="V10" s="213">
        <v>0</v>
      </c>
      <c r="W10" s="212">
        <v>0</v>
      </c>
      <c r="X10" s="212">
        <v>0</v>
      </c>
      <c r="Y10" s="212">
        <v>0</v>
      </c>
      <c r="Z10" s="212">
        <v>0</v>
      </c>
      <c r="AA10" s="1" t="b">
        <f t="shared" si="5"/>
        <v>1</v>
      </c>
      <c r="AB10" s="42">
        <f t="shared" si="6"/>
        <v>0.6</v>
      </c>
      <c r="AC10" s="43" t="b">
        <f t="shared" si="7"/>
        <v>1</v>
      </c>
      <c r="AD10" s="43" t="b">
        <f t="shared" si="8"/>
        <v>1</v>
      </c>
    </row>
    <row r="11" spans="1:71" ht="30" customHeight="1" x14ac:dyDescent="0.25">
      <c r="A11" s="254">
        <v>9</v>
      </c>
      <c r="B11" s="184" t="s">
        <v>145</v>
      </c>
      <c r="C11" s="192" t="s">
        <v>87</v>
      </c>
      <c r="D11" s="184" t="s">
        <v>113</v>
      </c>
      <c r="E11" s="218">
        <v>1607013</v>
      </c>
      <c r="F11" s="209" t="s">
        <v>98</v>
      </c>
      <c r="G11" s="209" t="s">
        <v>146</v>
      </c>
      <c r="H11" s="184" t="s">
        <v>60</v>
      </c>
      <c r="I11" s="215">
        <v>0.51200000000000001</v>
      </c>
      <c r="J11" s="211" t="s">
        <v>149</v>
      </c>
      <c r="K11" s="212">
        <v>2638204.2000000002</v>
      </c>
      <c r="L11" s="213">
        <f t="shared" si="9"/>
        <v>2110563.36</v>
      </c>
      <c r="M11" s="211">
        <f t="shared" si="1"/>
        <v>527640.84000000032</v>
      </c>
      <c r="N11" s="214">
        <v>0.8</v>
      </c>
      <c r="O11" s="213">
        <v>0</v>
      </c>
      <c r="P11" s="213">
        <v>0</v>
      </c>
      <c r="Q11" s="212">
        <v>0</v>
      </c>
      <c r="R11" s="212">
        <v>0</v>
      </c>
      <c r="S11" s="212">
        <v>0</v>
      </c>
      <c r="T11" s="213">
        <v>1298400</v>
      </c>
      <c r="U11" s="213">
        <v>812163.35999999987</v>
      </c>
      <c r="V11" s="213">
        <v>0</v>
      </c>
      <c r="W11" s="212">
        <v>0</v>
      </c>
      <c r="X11" s="212">
        <v>0</v>
      </c>
      <c r="Y11" s="212">
        <v>0</v>
      </c>
      <c r="Z11" s="212">
        <v>0</v>
      </c>
      <c r="AA11" s="1" t="b">
        <f t="shared" si="5"/>
        <v>1</v>
      </c>
      <c r="AB11" s="42">
        <f t="shared" si="6"/>
        <v>0.8</v>
      </c>
      <c r="AC11" s="43" t="b">
        <f t="shared" si="7"/>
        <v>1</v>
      </c>
      <c r="AD11" s="43" t="b">
        <f t="shared" si="8"/>
        <v>1</v>
      </c>
    </row>
    <row r="12" spans="1:71" s="248" customFormat="1" ht="54.75" customHeight="1" x14ac:dyDescent="0.25">
      <c r="A12" s="254">
        <v>10</v>
      </c>
      <c r="B12" s="183" t="s">
        <v>88</v>
      </c>
      <c r="C12" s="192" t="s">
        <v>84</v>
      </c>
      <c r="D12" s="194" t="s">
        <v>97</v>
      </c>
      <c r="E12" s="194" t="s">
        <v>212</v>
      </c>
      <c r="F12" s="184" t="s">
        <v>98</v>
      </c>
      <c r="G12" s="184" t="s">
        <v>99</v>
      </c>
      <c r="H12" s="184" t="s">
        <v>60</v>
      </c>
      <c r="I12" s="185">
        <v>0.54652999999999996</v>
      </c>
      <c r="J12" s="186" t="s">
        <v>236</v>
      </c>
      <c r="K12" s="212">
        <v>8044612.7400000002</v>
      </c>
      <c r="L12" s="213">
        <f t="shared" ref="L12:L15" si="10">ROUNDDOWN(K12*N12,2)</f>
        <v>8044612.7400000002</v>
      </c>
      <c r="M12" s="211">
        <f t="shared" ref="M12:M15" si="11">K12-L12</f>
        <v>0</v>
      </c>
      <c r="N12" s="255">
        <v>1</v>
      </c>
      <c r="O12" s="213">
        <v>0</v>
      </c>
      <c r="P12" s="213">
        <v>0</v>
      </c>
      <c r="Q12" s="212">
        <v>0</v>
      </c>
      <c r="R12" s="212">
        <v>0</v>
      </c>
      <c r="S12" s="212">
        <v>0</v>
      </c>
      <c r="T12" s="212">
        <v>0</v>
      </c>
      <c r="U12" s="212">
        <f>L12-V12</f>
        <v>6691346.9299999997</v>
      </c>
      <c r="V12" s="212">
        <v>1353265.81</v>
      </c>
      <c r="W12" s="212">
        <v>0</v>
      </c>
      <c r="X12" s="212">
        <v>0</v>
      </c>
      <c r="Y12" s="212">
        <v>0</v>
      </c>
      <c r="Z12" s="212">
        <v>0</v>
      </c>
      <c r="AA12" s="1" t="b">
        <f t="shared" si="5"/>
        <v>1</v>
      </c>
      <c r="AB12" s="42">
        <f t="shared" si="6"/>
        <v>1</v>
      </c>
      <c r="AC12" s="43" t="b">
        <f t="shared" si="7"/>
        <v>1</v>
      </c>
      <c r="AD12" s="43" t="b">
        <f t="shared" si="8"/>
        <v>1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</row>
    <row r="13" spans="1:71" s="248" customFormat="1" ht="30" customHeight="1" x14ac:dyDescent="0.25">
      <c r="A13" s="254">
        <v>11</v>
      </c>
      <c r="B13" s="183" t="s">
        <v>89</v>
      </c>
      <c r="C13" s="192" t="s">
        <v>84</v>
      </c>
      <c r="D13" s="194" t="s">
        <v>100</v>
      </c>
      <c r="E13" s="194" t="s">
        <v>101</v>
      </c>
      <c r="F13" s="184" t="s">
        <v>58</v>
      </c>
      <c r="G13" s="184" t="s">
        <v>102</v>
      </c>
      <c r="H13" s="184" t="s">
        <v>60</v>
      </c>
      <c r="I13" s="185">
        <v>0.61199999999999999</v>
      </c>
      <c r="J13" s="186" t="s">
        <v>236</v>
      </c>
      <c r="K13" s="212">
        <v>3518603.31</v>
      </c>
      <c r="L13" s="213">
        <f t="shared" si="10"/>
        <v>3518603.31</v>
      </c>
      <c r="M13" s="211">
        <f t="shared" si="11"/>
        <v>0</v>
      </c>
      <c r="N13" s="255">
        <v>1</v>
      </c>
      <c r="O13" s="213">
        <v>0</v>
      </c>
      <c r="P13" s="213">
        <v>0</v>
      </c>
      <c r="Q13" s="212">
        <v>0</v>
      </c>
      <c r="R13" s="212">
        <v>0</v>
      </c>
      <c r="S13" s="212">
        <v>0</v>
      </c>
      <c r="T13" s="212">
        <v>0</v>
      </c>
      <c r="U13" s="212">
        <v>2634506.5</v>
      </c>
      <c r="V13" s="212">
        <v>884096.81</v>
      </c>
      <c r="W13" s="212">
        <v>0</v>
      </c>
      <c r="X13" s="212">
        <v>0</v>
      </c>
      <c r="Y13" s="212">
        <v>0</v>
      </c>
      <c r="Z13" s="212">
        <v>0</v>
      </c>
      <c r="AA13" s="1" t="b">
        <f t="shared" si="5"/>
        <v>1</v>
      </c>
      <c r="AB13" s="42">
        <f t="shared" si="6"/>
        <v>1</v>
      </c>
      <c r="AC13" s="43" t="b">
        <f t="shared" si="7"/>
        <v>1</v>
      </c>
      <c r="AD13" s="43" t="b">
        <f t="shared" si="8"/>
        <v>1</v>
      </c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</row>
    <row r="14" spans="1:71" s="249" customFormat="1" ht="39.75" customHeight="1" x14ac:dyDescent="0.25">
      <c r="A14" s="206">
        <v>12</v>
      </c>
      <c r="B14" s="50" t="s">
        <v>90</v>
      </c>
      <c r="C14" s="193" t="s">
        <v>86</v>
      </c>
      <c r="D14" s="195" t="s">
        <v>103</v>
      </c>
      <c r="E14" s="195">
        <v>1610043</v>
      </c>
      <c r="F14" s="178" t="s">
        <v>61</v>
      </c>
      <c r="G14" s="178" t="s">
        <v>209</v>
      </c>
      <c r="H14" s="178" t="s">
        <v>60</v>
      </c>
      <c r="I14" s="179">
        <v>0.17549999999999999</v>
      </c>
      <c r="J14" s="180" t="s">
        <v>181</v>
      </c>
      <c r="K14" s="243">
        <v>2022999.62</v>
      </c>
      <c r="L14" s="219">
        <f t="shared" si="10"/>
        <v>2022999.62</v>
      </c>
      <c r="M14" s="244">
        <f t="shared" si="11"/>
        <v>0</v>
      </c>
      <c r="N14" s="196">
        <v>1</v>
      </c>
      <c r="O14" s="219">
        <v>0</v>
      </c>
      <c r="P14" s="219">
        <v>0</v>
      </c>
      <c r="Q14" s="243">
        <v>0</v>
      </c>
      <c r="R14" s="243">
        <v>0</v>
      </c>
      <c r="S14" s="243">
        <v>0</v>
      </c>
      <c r="T14" s="243">
        <v>0</v>
      </c>
      <c r="U14" s="243">
        <f>L14</f>
        <v>2022999.62</v>
      </c>
      <c r="V14" s="243">
        <v>0</v>
      </c>
      <c r="W14" s="243">
        <v>0</v>
      </c>
      <c r="X14" s="243">
        <v>0</v>
      </c>
      <c r="Y14" s="243">
        <v>0</v>
      </c>
      <c r="Z14" s="243">
        <v>0</v>
      </c>
      <c r="AA14" s="1" t="b">
        <f t="shared" si="5"/>
        <v>1</v>
      </c>
      <c r="AB14" s="42">
        <f t="shared" si="6"/>
        <v>1</v>
      </c>
      <c r="AC14" s="43" t="b">
        <f t="shared" si="7"/>
        <v>1</v>
      </c>
      <c r="AD14" s="43" t="b">
        <f t="shared" si="8"/>
        <v>1</v>
      </c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</row>
    <row r="15" spans="1:71" s="249" customFormat="1" ht="30" customHeight="1" x14ac:dyDescent="0.25">
      <c r="A15" s="206">
        <v>13</v>
      </c>
      <c r="B15" s="50" t="s">
        <v>91</v>
      </c>
      <c r="C15" s="193" t="s">
        <v>86</v>
      </c>
      <c r="D15" s="195" t="s">
        <v>104</v>
      </c>
      <c r="E15" s="195">
        <v>1605013</v>
      </c>
      <c r="F15" s="178" t="s">
        <v>75</v>
      </c>
      <c r="G15" s="178" t="s">
        <v>105</v>
      </c>
      <c r="H15" s="178" t="s">
        <v>60</v>
      </c>
      <c r="I15" s="179">
        <v>1.0669999999999999</v>
      </c>
      <c r="J15" s="180" t="s">
        <v>74</v>
      </c>
      <c r="K15" s="243">
        <v>4068440.95</v>
      </c>
      <c r="L15" s="219">
        <f t="shared" si="10"/>
        <v>4068440.95</v>
      </c>
      <c r="M15" s="244">
        <f t="shared" si="11"/>
        <v>0</v>
      </c>
      <c r="N15" s="196">
        <v>1</v>
      </c>
      <c r="O15" s="219">
        <v>0</v>
      </c>
      <c r="P15" s="219">
        <v>0</v>
      </c>
      <c r="Q15" s="243">
        <v>0</v>
      </c>
      <c r="R15" s="243">
        <v>0</v>
      </c>
      <c r="S15" s="243">
        <v>0</v>
      </c>
      <c r="T15" s="243">
        <v>0</v>
      </c>
      <c r="U15" s="243">
        <f t="shared" ref="U15" si="12">L15</f>
        <v>4068440.95</v>
      </c>
      <c r="V15" s="243">
        <v>0</v>
      </c>
      <c r="W15" s="243">
        <v>0</v>
      </c>
      <c r="X15" s="243">
        <v>0</v>
      </c>
      <c r="Y15" s="243">
        <v>0</v>
      </c>
      <c r="Z15" s="243">
        <v>0</v>
      </c>
      <c r="AA15" s="1" t="b">
        <f t="shared" si="5"/>
        <v>1</v>
      </c>
      <c r="AB15" s="42">
        <f t="shared" si="6"/>
        <v>1</v>
      </c>
      <c r="AC15" s="43" t="b">
        <f t="shared" si="7"/>
        <v>1</v>
      </c>
      <c r="AD15" s="43" t="b">
        <f t="shared" si="8"/>
        <v>1</v>
      </c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</row>
    <row r="16" spans="1:71" s="249" customFormat="1" ht="30" customHeight="1" x14ac:dyDescent="0.25">
      <c r="A16" s="254">
        <v>14</v>
      </c>
      <c r="B16" s="183" t="s">
        <v>92</v>
      </c>
      <c r="C16" s="192" t="s">
        <v>84</v>
      </c>
      <c r="D16" s="194" t="s">
        <v>108</v>
      </c>
      <c r="E16" s="194">
        <v>1601011</v>
      </c>
      <c r="F16" s="184" t="s">
        <v>63</v>
      </c>
      <c r="G16" s="184" t="s">
        <v>109</v>
      </c>
      <c r="H16" s="184" t="s">
        <v>65</v>
      </c>
      <c r="I16" s="185">
        <v>0.46700000000000003</v>
      </c>
      <c r="J16" s="186" t="s">
        <v>110</v>
      </c>
      <c r="K16" s="212">
        <v>6262428.7300000004</v>
      </c>
      <c r="L16" s="213">
        <f>ROUNDDOWN(K16*N16,2)</f>
        <v>6262428.7300000004</v>
      </c>
      <c r="M16" s="211">
        <f>K16-L16</f>
        <v>0</v>
      </c>
      <c r="N16" s="255">
        <v>1</v>
      </c>
      <c r="O16" s="213">
        <v>0</v>
      </c>
      <c r="P16" s="213">
        <v>0</v>
      </c>
      <c r="Q16" s="212">
        <v>0</v>
      </c>
      <c r="R16" s="212">
        <v>0</v>
      </c>
      <c r="S16" s="212">
        <v>0</v>
      </c>
      <c r="T16" s="212">
        <v>0</v>
      </c>
      <c r="U16" s="212">
        <v>2929772.05</v>
      </c>
      <c r="V16" s="212">
        <v>3332656.68</v>
      </c>
      <c r="W16" s="212">
        <v>0</v>
      </c>
      <c r="X16" s="212">
        <v>0</v>
      </c>
      <c r="Y16" s="212">
        <v>0</v>
      </c>
      <c r="Z16" s="212">
        <v>0</v>
      </c>
      <c r="AA16" s="1" t="b">
        <f t="shared" si="5"/>
        <v>1</v>
      </c>
      <c r="AB16" s="42">
        <f t="shared" si="6"/>
        <v>1</v>
      </c>
      <c r="AC16" s="43" t="b">
        <f t="shared" si="7"/>
        <v>1</v>
      </c>
      <c r="AD16" s="43" t="b">
        <f t="shared" si="8"/>
        <v>1</v>
      </c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</row>
    <row r="17" spans="1:71" s="248" customFormat="1" ht="39.75" customHeight="1" x14ac:dyDescent="0.25">
      <c r="A17" s="206">
        <v>15</v>
      </c>
      <c r="B17" s="50" t="s">
        <v>93</v>
      </c>
      <c r="C17" s="193" t="s">
        <v>86</v>
      </c>
      <c r="D17" s="195" t="s">
        <v>111</v>
      </c>
      <c r="E17" s="195">
        <v>1603011</v>
      </c>
      <c r="F17" s="178" t="s">
        <v>77</v>
      </c>
      <c r="G17" s="178" t="s">
        <v>112</v>
      </c>
      <c r="H17" s="178" t="s">
        <v>69</v>
      </c>
      <c r="I17" s="179">
        <v>8.5110000000000005E-2</v>
      </c>
      <c r="J17" s="180" t="s">
        <v>225</v>
      </c>
      <c r="K17" s="243">
        <v>1295825.79</v>
      </c>
      <c r="L17" s="219">
        <f>ROUNDDOWN(K17*N17,2)</f>
        <v>1295825.79</v>
      </c>
      <c r="M17" s="244">
        <f>K17-L17</f>
        <v>0</v>
      </c>
      <c r="N17" s="196">
        <v>1</v>
      </c>
      <c r="O17" s="243">
        <v>0</v>
      </c>
      <c r="P17" s="243">
        <v>0</v>
      </c>
      <c r="Q17" s="243">
        <v>0</v>
      </c>
      <c r="R17" s="243">
        <v>0</v>
      </c>
      <c r="S17" s="243">
        <v>0</v>
      </c>
      <c r="T17" s="243">
        <v>0</v>
      </c>
      <c r="U17" s="243">
        <f>L17</f>
        <v>1295825.79</v>
      </c>
      <c r="V17" s="243">
        <v>0</v>
      </c>
      <c r="W17" s="243">
        <v>0</v>
      </c>
      <c r="X17" s="243">
        <v>0</v>
      </c>
      <c r="Y17" s="243">
        <v>0</v>
      </c>
      <c r="Z17" s="243">
        <v>0</v>
      </c>
      <c r="AA17" s="1" t="b">
        <f t="shared" si="5"/>
        <v>1</v>
      </c>
      <c r="AB17" s="42">
        <f t="shared" si="6"/>
        <v>1</v>
      </c>
      <c r="AC17" s="43" t="b">
        <f t="shared" si="7"/>
        <v>1</v>
      </c>
      <c r="AD17" s="43" t="b">
        <f t="shared" si="8"/>
        <v>1</v>
      </c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</row>
    <row r="18" spans="1:71" s="249" customFormat="1" ht="30" customHeight="1" x14ac:dyDescent="0.25">
      <c r="A18" s="206">
        <v>16</v>
      </c>
      <c r="B18" s="50" t="s">
        <v>94</v>
      </c>
      <c r="C18" s="193" t="s">
        <v>86</v>
      </c>
      <c r="D18" s="195" t="s">
        <v>113</v>
      </c>
      <c r="E18" s="195">
        <v>1607013</v>
      </c>
      <c r="F18" s="178" t="s">
        <v>98</v>
      </c>
      <c r="G18" s="178" t="s">
        <v>114</v>
      </c>
      <c r="H18" s="178" t="s">
        <v>60</v>
      </c>
      <c r="I18" s="179">
        <v>0.115</v>
      </c>
      <c r="J18" s="180" t="s">
        <v>230</v>
      </c>
      <c r="K18" s="243">
        <v>467487.24</v>
      </c>
      <c r="L18" s="219">
        <v>467487.24</v>
      </c>
      <c r="M18" s="244">
        <f>K18-L18</f>
        <v>0</v>
      </c>
      <c r="N18" s="196">
        <v>1</v>
      </c>
      <c r="O18" s="243">
        <v>0</v>
      </c>
      <c r="P18" s="243">
        <v>0</v>
      </c>
      <c r="Q18" s="243">
        <v>0</v>
      </c>
      <c r="R18" s="243">
        <v>0</v>
      </c>
      <c r="S18" s="243">
        <v>0</v>
      </c>
      <c r="T18" s="243">
        <v>0</v>
      </c>
      <c r="U18" s="243">
        <f t="shared" ref="U18:U26" si="13">L18</f>
        <v>467487.24</v>
      </c>
      <c r="V18" s="243">
        <v>0</v>
      </c>
      <c r="W18" s="243">
        <v>0</v>
      </c>
      <c r="X18" s="243">
        <v>0</v>
      </c>
      <c r="Y18" s="243">
        <v>0</v>
      </c>
      <c r="Z18" s="243">
        <v>0</v>
      </c>
      <c r="AA18" s="1" t="b">
        <f t="shared" si="5"/>
        <v>1</v>
      </c>
      <c r="AB18" s="42">
        <f t="shared" si="6"/>
        <v>1</v>
      </c>
      <c r="AC18" s="43" t="b">
        <f t="shared" si="7"/>
        <v>1</v>
      </c>
      <c r="AD18" s="43" t="b">
        <f t="shared" si="8"/>
        <v>1</v>
      </c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</row>
    <row r="19" spans="1:71" s="237" customFormat="1" ht="30" customHeight="1" x14ac:dyDescent="0.25">
      <c r="A19" s="206">
        <v>17</v>
      </c>
      <c r="B19" s="50" t="s">
        <v>95</v>
      </c>
      <c r="C19" s="193"/>
      <c r="D19" s="195" t="s">
        <v>115</v>
      </c>
      <c r="E19" s="195">
        <v>1608033</v>
      </c>
      <c r="F19" s="178" t="s">
        <v>72</v>
      </c>
      <c r="G19" s="178" t="s">
        <v>116</v>
      </c>
      <c r="H19" s="178" t="s">
        <v>65</v>
      </c>
      <c r="I19" s="179"/>
      <c r="J19" s="180" t="s">
        <v>216</v>
      </c>
      <c r="K19" s="243"/>
      <c r="L19" s="219"/>
      <c r="M19" s="244"/>
      <c r="N19" s="196">
        <v>0.7</v>
      </c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61" t="b">
        <f t="shared" si="5"/>
        <v>1</v>
      </c>
      <c r="AB19" s="262" t="e">
        <f t="shared" si="6"/>
        <v>#DIV/0!</v>
      </c>
      <c r="AC19" s="263" t="e">
        <f t="shared" si="7"/>
        <v>#DIV/0!</v>
      </c>
      <c r="AD19" s="263" t="b">
        <f t="shared" si="8"/>
        <v>1</v>
      </c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</row>
    <row r="20" spans="1:71" s="249" customFormat="1" ht="37.5" customHeight="1" x14ac:dyDescent="0.25">
      <c r="A20" s="206">
        <v>18</v>
      </c>
      <c r="B20" s="50" t="s">
        <v>96</v>
      </c>
      <c r="C20" s="193" t="s">
        <v>86</v>
      </c>
      <c r="D20" s="195" t="s">
        <v>118</v>
      </c>
      <c r="E20" s="195">
        <v>1605053</v>
      </c>
      <c r="F20" s="178" t="s">
        <v>75</v>
      </c>
      <c r="G20" s="178" t="s">
        <v>119</v>
      </c>
      <c r="H20" s="178" t="s">
        <v>60</v>
      </c>
      <c r="I20" s="179">
        <v>0.42799999999999999</v>
      </c>
      <c r="J20" s="180" t="s">
        <v>232</v>
      </c>
      <c r="K20" s="243">
        <v>2540614.33</v>
      </c>
      <c r="L20" s="219">
        <f>ROUNDDOWN(K20*N20,2)</f>
        <v>2540614.33</v>
      </c>
      <c r="M20" s="244">
        <v>0</v>
      </c>
      <c r="N20" s="196">
        <v>1</v>
      </c>
      <c r="O20" s="243">
        <v>0</v>
      </c>
      <c r="P20" s="243">
        <v>0</v>
      </c>
      <c r="Q20" s="243">
        <v>0</v>
      </c>
      <c r="R20" s="243">
        <v>0</v>
      </c>
      <c r="S20" s="243">
        <v>0</v>
      </c>
      <c r="T20" s="243">
        <v>0</v>
      </c>
      <c r="U20" s="243">
        <f t="shared" si="13"/>
        <v>2540614.33</v>
      </c>
      <c r="V20" s="243">
        <v>0</v>
      </c>
      <c r="W20" s="243">
        <v>0</v>
      </c>
      <c r="X20" s="243">
        <v>0</v>
      </c>
      <c r="Y20" s="243">
        <v>0</v>
      </c>
      <c r="Z20" s="243">
        <v>0</v>
      </c>
      <c r="AA20" s="1" t="b">
        <f t="shared" si="5"/>
        <v>1</v>
      </c>
      <c r="AB20" s="42">
        <f t="shared" si="6"/>
        <v>1</v>
      </c>
      <c r="AC20" s="43" t="b">
        <f t="shared" si="7"/>
        <v>1</v>
      </c>
      <c r="AD20" s="43" t="b">
        <f t="shared" si="8"/>
        <v>1</v>
      </c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</row>
    <row r="21" spans="1:71" ht="30" customHeight="1" x14ac:dyDescent="0.25">
      <c r="A21" s="206">
        <v>19</v>
      </c>
      <c r="B21" s="50" t="s">
        <v>150</v>
      </c>
      <c r="C21" s="193" t="s">
        <v>86</v>
      </c>
      <c r="D21" s="195" t="s">
        <v>168</v>
      </c>
      <c r="E21" s="195">
        <v>1608043</v>
      </c>
      <c r="F21" s="178" t="s">
        <v>72</v>
      </c>
      <c r="G21" s="178" t="s">
        <v>169</v>
      </c>
      <c r="H21" s="178" t="s">
        <v>65</v>
      </c>
      <c r="I21" s="179">
        <v>1.55</v>
      </c>
      <c r="J21" s="180" t="s">
        <v>226</v>
      </c>
      <c r="K21" s="243">
        <v>2282184.4300000002</v>
      </c>
      <c r="L21" s="219">
        <f>ROUNDDOWN(K21*N21,2)</f>
        <v>1597529.1</v>
      </c>
      <c r="M21" s="244">
        <f t="shared" ref="M21:M26" si="14">K21-L21</f>
        <v>684655.33000000007</v>
      </c>
      <c r="N21" s="196">
        <v>0.7</v>
      </c>
      <c r="O21" s="243">
        <v>0</v>
      </c>
      <c r="P21" s="243">
        <v>0</v>
      </c>
      <c r="Q21" s="243">
        <v>0</v>
      </c>
      <c r="R21" s="243">
        <v>0</v>
      </c>
      <c r="S21" s="243">
        <v>0</v>
      </c>
      <c r="T21" s="243">
        <v>0</v>
      </c>
      <c r="U21" s="243">
        <f t="shared" si="13"/>
        <v>1597529.1</v>
      </c>
      <c r="V21" s="243">
        <v>0</v>
      </c>
      <c r="W21" s="243">
        <v>0</v>
      </c>
      <c r="X21" s="243">
        <v>0</v>
      </c>
      <c r="Y21" s="243">
        <v>0</v>
      </c>
      <c r="Z21" s="243">
        <v>0</v>
      </c>
      <c r="AA21" s="1" t="b">
        <f t="shared" si="5"/>
        <v>1</v>
      </c>
      <c r="AB21" s="42">
        <f t="shared" si="6"/>
        <v>0.7</v>
      </c>
      <c r="AC21" s="43" t="b">
        <f t="shared" si="7"/>
        <v>1</v>
      </c>
      <c r="AD21" s="43" t="b">
        <f t="shared" si="8"/>
        <v>1</v>
      </c>
    </row>
    <row r="22" spans="1:71" s="249" customFormat="1" ht="30" customHeight="1" x14ac:dyDescent="0.25">
      <c r="A22" s="206">
        <v>20</v>
      </c>
      <c r="B22" s="50" t="s">
        <v>151</v>
      </c>
      <c r="C22" s="193" t="s">
        <v>86</v>
      </c>
      <c r="D22" s="195" t="s">
        <v>170</v>
      </c>
      <c r="E22" s="195">
        <v>1609032</v>
      </c>
      <c r="F22" s="178" t="s">
        <v>58</v>
      </c>
      <c r="G22" s="178" t="s">
        <v>171</v>
      </c>
      <c r="H22" s="178" t="s">
        <v>60</v>
      </c>
      <c r="I22" s="179">
        <v>6.8430000000000005E-2</v>
      </c>
      <c r="J22" s="180" t="s">
        <v>223</v>
      </c>
      <c r="K22" s="243">
        <v>489640.86</v>
      </c>
      <c r="L22" s="219">
        <f t="shared" ref="L22:L26" si="15">ROUNDDOWN(K22*N22,2)</f>
        <v>489640.86</v>
      </c>
      <c r="M22" s="244">
        <f t="shared" si="14"/>
        <v>0</v>
      </c>
      <c r="N22" s="196">
        <v>1</v>
      </c>
      <c r="O22" s="243">
        <v>0</v>
      </c>
      <c r="P22" s="243">
        <v>0</v>
      </c>
      <c r="Q22" s="243">
        <v>0</v>
      </c>
      <c r="R22" s="243">
        <v>0</v>
      </c>
      <c r="S22" s="243">
        <v>0</v>
      </c>
      <c r="T22" s="243">
        <v>0</v>
      </c>
      <c r="U22" s="243">
        <f t="shared" si="13"/>
        <v>489640.86</v>
      </c>
      <c r="V22" s="243">
        <v>0</v>
      </c>
      <c r="W22" s="243">
        <v>0</v>
      </c>
      <c r="X22" s="243">
        <v>0</v>
      </c>
      <c r="Y22" s="243">
        <v>0</v>
      </c>
      <c r="Z22" s="243">
        <v>0</v>
      </c>
      <c r="AA22" s="1" t="b">
        <f t="shared" si="5"/>
        <v>1</v>
      </c>
      <c r="AB22" s="42">
        <f t="shared" si="6"/>
        <v>1</v>
      </c>
      <c r="AC22" s="43" t="b">
        <f t="shared" si="7"/>
        <v>1</v>
      </c>
      <c r="AD22" s="43" t="b">
        <f t="shared" si="8"/>
        <v>1</v>
      </c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</row>
    <row r="23" spans="1:71" s="249" customFormat="1" ht="30" customHeight="1" x14ac:dyDescent="0.25">
      <c r="A23" s="206">
        <v>21</v>
      </c>
      <c r="B23" s="50" t="s">
        <v>152</v>
      </c>
      <c r="C23" s="193" t="s">
        <v>86</v>
      </c>
      <c r="D23" s="195" t="s">
        <v>170</v>
      </c>
      <c r="E23" s="195">
        <v>1609032</v>
      </c>
      <c r="F23" s="178" t="s">
        <v>58</v>
      </c>
      <c r="G23" s="178" t="s">
        <v>172</v>
      </c>
      <c r="H23" s="178" t="s">
        <v>69</v>
      </c>
      <c r="I23" s="179">
        <v>1.03</v>
      </c>
      <c r="J23" s="180" t="s">
        <v>224</v>
      </c>
      <c r="K23" s="243">
        <v>374098.57</v>
      </c>
      <c r="L23" s="219">
        <f t="shared" si="15"/>
        <v>374098.57</v>
      </c>
      <c r="M23" s="244">
        <f t="shared" si="14"/>
        <v>0</v>
      </c>
      <c r="N23" s="196">
        <v>1</v>
      </c>
      <c r="O23" s="243">
        <v>0</v>
      </c>
      <c r="P23" s="243">
        <v>0</v>
      </c>
      <c r="Q23" s="243">
        <v>0</v>
      </c>
      <c r="R23" s="243">
        <v>0</v>
      </c>
      <c r="S23" s="243">
        <v>0</v>
      </c>
      <c r="T23" s="243">
        <v>0</v>
      </c>
      <c r="U23" s="243">
        <f t="shared" si="13"/>
        <v>374098.57</v>
      </c>
      <c r="V23" s="243">
        <v>0</v>
      </c>
      <c r="W23" s="243">
        <v>0</v>
      </c>
      <c r="X23" s="243">
        <v>0</v>
      </c>
      <c r="Y23" s="243">
        <v>0</v>
      </c>
      <c r="Z23" s="243">
        <v>0</v>
      </c>
      <c r="AA23" s="1" t="b">
        <f t="shared" si="5"/>
        <v>1</v>
      </c>
      <c r="AB23" s="42">
        <f t="shared" si="6"/>
        <v>1</v>
      </c>
      <c r="AC23" s="43" t="b">
        <f t="shared" si="7"/>
        <v>1</v>
      </c>
      <c r="AD23" s="43" t="b">
        <f t="shared" si="8"/>
        <v>1</v>
      </c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</row>
    <row r="24" spans="1:71" s="249" customFormat="1" ht="37.5" customHeight="1" x14ac:dyDescent="0.25">
      <c r="A24" s="206">
        <v>22</v>
      </c>
      <c r="B24" s="50" t="s">
        <v>153</v>
      </c>
      <c r="C24" s="193" t="s">
        <v>86</v>
      </c>
      <c r="D24" s="195" t="s">
        <v>111</v>
      </c>
      <c r="E24" s="195">
        <v>1603011</v>
      </c>
      <c r="F24" s="178" t="s">
        <v>77</v>
      </c>
      <c r="G24" s="178" t="s">
        <v>173</v>
      </c>
      <c r="H24" s="178" t="s">
        <v>69</v>
      </c>
      <c r="I24" s="179">
        <v>9.9089999999999998E-2</v>
      </c>
      <c r="J24" s="180" t="s">
        <v>226</v>
      </c>
      <c r="K24" s="243">
        <v>793841.72</v>
      </c>
      <c r="L24" s="219">
        <f t="shared" si="15"/>
        <v>793841.72</v>
      </c>
      <c r="M24" s="244">
        <f t="shared" si="14"/>
        <v>0</v>
      </c>
      <c r="N24" s="196">
        <v>1</v>
      </c>
      <c r="O24" s="243">
        <v>0</v>
      </c>
      <c r="P24" s="243">
        <v>0</v>
      </c>
      <c r="Q24" s="243">
        <v>0</v>
      </c>
      <c r="R24" s="243">
        <v>0</v>
      </c>
      <c r="S24" s="243">
        <v>0</v>
      </c>
      <c r="T24" s="243">
        <v>0</v>
      </c>
      <c r="U24" s="243">
        <f t="shared" si="13"/>
        <v>793841.72</v>
      </c>
      <c r="V24" s="243">
        <v>0</v>
      </c>
      <c r="W24" s="243">
        <v>0</v>
      </c>
      <c r="X24" s="243">
        <v>0</v>
      </c>
      <c r="Y24" s="243">
        <v>0</v>
      </c>
      <c r="Z24" s="243">
        <v>0</v>
      </c>
      <c r="AA24" s="1" t="b">
        <f t="shared" si="5"/>
        <v>1</v>
      </c>
      <c r="AB24" s="42">
        <f t="shared" si="6"/>
        <v>1</v>
      </c>
      <c r="AC24" s="43" t="b">
        <f t="shared" si="7"/>
        <v>1</v>
      </c>
      <c r="AD24" s="43" t="b">
        <f t="shared" si="8"/>
        <v>1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</row>
    <row r="25" spans="1:71" s="249" customFormat="1" ht="30" customHeight="1" x14ac:dyDescent="0.25">
      <c r="A25" s="206">
        <v>23</v>
      </c>
      <c r="B25" s="50" t="s">
        <v>154</v>
      </c>
      <c r="C25" s="193" t="s">
        <v>86</v>
      </c>
      <c r="D25" s="195" t="s">
        <v>174</v>
      </c>
      <c r="E25" s="195">
        <v>1605023</v>
      </c>
      <c r="F25" s="178" t="s">
        <v>75</v>
      </c>
      <c r="G25" s="178" t="s">
        <v>175</v>
      </c>
      <c r="H25" s="178" t="s">
        <v>60</v>
      </c>
      <c r="I25" s="179">
        <v>0.44500000000000001</v>
      </c>
      <c r="J25" s="180" t="s">
        <v>237</v>
      </c>
      <c r="K25" s="243">
        <v>1723075.37</v>
      </c>
      <c r="L25" s="219">
        <f t="shared" si="15"/>
        <v>1723075.37</v>
      </c>
      <c r="M25" s="244">
        <f t="shared" si="14"/>
        <v>0</v>
      </c>
      <c r="N25" s="196">
        <v>1</v>
      </c>
      <c r="O25" s="243">
        <v>0</v>
      </c>
      <c r="P25" s="243">
        <v>0</v>
      </c>
      <c r="Q25" s="243">
        <v>0</v>
      </c>
      <c r="R25" s="243">
        <v>0</v>
      </c>
      <c r="S25" s="243">
        <v>0</v>
      </c>
      <c r="T25" s="243">
        <v>0</v>
      </c>
      <c r="U25" s="243">
        <f t="shared" si="13"/>
        <v>1723075.37</v>
      </c>
      <c r="V25" s="243">
        <v>0</v>
      </c>
      <c r="W25" s="243">
        <v>0</v>
      </c>
      <c r="X25" s="243">
        <v>0</v>
      </c>
      <c r="Y25" s="243">
        <v>0</v>
      </c>
      <c r="Z25" s="243">
        <v>0</v>
      </c>
      <c r="AA25" s="1" t="b">
        <f t="shared" si="5"/>
        <v>1</v>
      </c>
      <c r="AB25" s="42">
        <f t="shared" si="6"/>
        <v>1</v>
      </c>
      <c r="AC25" s="43" t="b">
        <f t="shared" si="7"/>
        <v>1</v>
      </c>
      <c r="AD25" s="43" t="b">
        <f t="shared" si="8"/>
        <v>1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</row>
    <row r="26" spans="1:71" s="249" customFormat="1" ht="30" customHeight="1" x14ac:dyDescent="0.25">
      <c r="A26" s="206">
        <v>24</v>
      </c>
      <c r="B26" s="50" t="s">
        <v>155</v>
      </c>
      <c r="C26" s="193" t="s">
        <v>86</v>
      </c>
      <c r="D26" s="195" t="s">
        <v>176</v>
      </c>
      <c r="E26" s="195">
        <v>1609083</v>
      </c>
      <c r="F26" s="178" t="s">
        <v>58</v>
      </c>
      <c r="G26" s="178" t="s">
        <v>177</v>
      </c>
      <c r="H26" s="178" t="s">
        <v>65</v>
      </c>
      <c r="I26" s="179">
        <v>0.32900000000000001</v>
      </c>
      <c r="J26" s="180" t="s">
        <v>181</v>
      </c>
      <c r="K26" s="243">
        <v>919855.5</v>
      </c>
      <c r="L26" s="219">
        <f t="shared" si="15"/>
        <v>919855.5</v>
      </c>
      <c r="M26" s="244">
        <f t="shared" si="14"/>
        <v>0</v>
      </c>
      <c r="N26" s="196">
        <v>1</v>
      </c>
      <c r="O26" s="243">
        <v>0</v>
      </c>
      <c r="P26" s="243">
        <v>0</v>
      </c>
      <c r="Q26" s="243">
        <v>0</v>
      </c>
      <c r="R26" s="243">
        <v>0</v>
      </c>
      <c r="S26" s="243">
        <v>0</v>
      </c>
      <c r="T26" s="243">
        <v>0</v>
      </c>
      <c r="U26" s="243">
        <f t="shared" si="13"/>
        <v>919855.5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1" t="b">
        <f t="shared" si="5"/>
        <v>1</v>
      </c>
      <c r="AB26" s="42">
        <f t="shared" si="6"/>
        <v>1</v>
      </c>
      <c r="AC26" s="43" t="b">
        <f t="shared" si="7"/>
        <v>1</v>
      </c>
      <c r="AD26" s="43" t="b">
        <f t="shared" si="8"/>
        <v>1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</row>
    <row r="27" spans="1:71" s="249" customFormat="1" ht="46.5" customHeight="1" x14ac:dyDescent="0.25">
      <c r="A27" s="206">
        <v>25</v>
      </c>
      <c r="B27" s="50" t="s">
        <v>156</v>
      </c>
      <c r="C27" s="193" t="s">
        <v>86</v>
      </c>
      <c r="D27" s="195" t="s">
        <v>176</v>
      </c>
      <c r="E27" s="195">
        <v>1609083</v>
      </c>
      <c r="F27" s="178" t="s">
        <v>58</v>
      </c>
      <c r="G27" s="178" t="s">
        <v>178</v>
      </c>
      <c r="H27" s="178" t="s">
        <v>69</v>
      </c>
      <c r="I27" s="179">
        <v>0.26079999999999998</v>
      </c>
      <c r="J27" s="180" t="s">
        <v>79</v>
      </c>
      <c r="K27" s="243">
        <v>295446.74</v>
      </c>
      <c r="L27" s="219">
        <f t="shared" ref="L27:L31" si="16">ROUNDDOWN(K27*N27,2)</f>
        <v>295446.74</v>
      </c>
      <c r="M27" s="244">
        <f t="shared" ref="M27:M30" si="17">K27-L27</f>
        <v>0</v>
      </c>
      <c r="N27" s="196">
        <v>1</v>
      </c>
      <c r="O27" s="243">
        <v>0</v>
      </c>
      <c r="P27" s="243">
        <v>0</v>
      </c>
      <c r="Q27" s="243">
        <v>0</v>
      </c>
      <c r="R27" s="243">
        <v>0</v>
      </c>
      <c r="S27" s="243">
        <v>0</v>
      </c>
      <c r="T27" s="243">
        <v>0</v>
      </c>
      <c r="U27" s="243">
        <v>295446.74</v>
      </c>
      <c r="V27" s="243">
        <v>0</v>
      </c>
      <c r="W27" s="243">
        <v>0</v>
      </c>
      <c r="X27" s="243">
        <v>0</v>
      </c>
      <c r="Y27" s="243">
        <v>0</v>
      </c>
      <c r="Z27" s="243">
        <v>0</v>
      </c>
      <c r="AA27" s="1" t="b">
        <f t="shared" si="5"/>
        <v>1</v>
      </c>
      <c r="AB27" s="42">
        <f t="shared" si="6"/>
        <v>1</v>
      </c>
      <c r="AC27" s="43" t="b">
        <f t="shared" si="7"/>
        <v>1</v>
      </c>
      <c r="AD27" s="43" t="b">
        <f t="shared" si="8"/>
        <v>1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</row>
    <row r="28" spans="1:71" ht="30" customHeight="1" x14ac:dyDescent="0.25">
      <c r="A28" s="206">
        <v>26</v>
      </c>
      <c r="B28" s="50" t="s">
        <v>157</v>
      </c>
      <c r="C28" s="193" t="s">
        <v>86</v>
      </c>
      <c r="D28" s="195" t="s">
        <v>179</v>
      </c>
      <c r="E28" s="195">
        <v>1611073</v>
      </c>
      <c r="F28" s="178" t="s">
        <v>66</v>
      </c>
      <c r="G28" s="178" t="s">
        <v>180</v>
      </c>
      <c r="H28" s="178" t="s">
        <v>60</v>
      </c>
      <c r="I28" s="179">
        <v>0.10100000000000001</v>
      </c>
      <c r="J28" s="180" t="s">
        <v>184</v>
      </c>
      <c r="K28" s="243">
        <v>336002.1</v>
      </c>
      <c r="L28" s="219">
        <f t="shared" si="16"/>
        <v>235201.47</v>
      </c>
      <c r="M28" s="244">
        <f t="shared" si="17"/>
        <v>100800.62999999998</v>
      </c>
      <c r="N28" s="196">
        <v>0.7</v>
      </c>
      <c r="O28" s="243">
        <v>0</v>
      </c>
      <c r="P28" s="243">
        <v>0</v>
      </c>
      <c r="Q28" s="243">
        <v>0</v>
      </c>
      <c r="R28" s="243">
        <v>0</v>
      </c>
      <c r="S28" s="243">
        <v>0</v>
      </c>
      <c r="T28" s="243">
        <v>0</v>
      </c>
      <c r="U28" s="243">
        <f t="shared" ref="U28:U30" si="18">L28</f>
        <v>235201.47</v>
      </c>
      <c r="V28" s="243">
        <v>0</v>
      </c>
      <c r="W28" s="243">
        <v>0</v>
      </c>
      <c r="X28" s="243">
        <v>0</v>
      </c>
      <c r="Y28" s="243">
        <v>0</v>
      </c>
      <c r="Z28" s="243">
        <v>0</v>
      </c>
      <c r="AA28" s="1" t="b">
        <f t="shared" si="5"/>
        <v>1</v>
      </c>
      <c r="AB28" s="42">
        <f t="shared" si="6"/>
        <v>0.7</v>
      </c>
      <c r="AC28" s="43" t="b">
        <f t="shared" si="7"/>
        <v>1</v>
      </c>
      <c r="AD28" s="43" t="b">
        <f t="shared" si="8"/>
        <v>1</v>
      </c>
    </row>
    <row r="29" spans="1:71" ht="30" customHeight="1" x14ac:dyDescent="0.25">
      <c r="A29" s="206">
        <v>27</v>
      </c>
      <c r="B29" s="50" t="s">
        <v>158</v>
      </c>
      <c r="C29" s="193" t="s">
        <v>86</v>
      </c>
      <c r="D29" s="195" t="s">
        <v>182</v>
      </c>
      <c r="E29" s="195">
        <v>1611033</v>
      </c>
      <c r="F29" s="178" t="s">
        <v>66</v>
      </c>
      <c r="G29" s="178" t="s">
        <v>183</v>
      </c>
      <c r="H29" s="178" t="s">
        <v>65</v>
      </c>
      <c r="I29" s="179">
        <v>0.67900000000000005</v>
      </c>
      <c r="J29" s="180" t="s">
        <v>204</v>
      </c>
      <c r="K29" s="243">
        <v>1126976.6499999999</v>
      </c>
      <c r="L29" s="219">
        <f t="shared" si="16"/>
        <v>676185.99</v>
      </c>
      <c r="M29" s="244">
        <f t="shared" si="17"/>
        <v>450790.65999999992</v>
      </c>
      <c r="N29" s="196">
        <v>0.6</v>
      </c>
      <c r="O29" s="243">
        <v>0</v>
      </c>
      <c r="P29" s="243">
        <v>0</v>
      </c>
      <c r="Q29" s="243">
        <v>0</v>
      </c>
      <c r="R29" s="243">
        <v>0</v>
      </c>
      <c r="S29" s="243">
        <v>0</v>
      </c>
      <c r="T29" s="243">
        <v>0</v>
      </c>
      <c r="U29" s="243">
        <f t="shared" si="18"/>
        <v>676185.99</v>
      </c>
      <c r="V29" s="243">
        <v>0</v>
      </c>
      <c r="W29" s="243">
        <v>0</v>
      </c>
      <c r="X29" s="243">
        <v>0</v>
      </c>
      <c r="Y29" s="243">
        <v>0</v>
      </c>
      <c r="Z29" s="243">
        <v>0</v>
      </c>
      <c r="AA29" s="1" t="b">
        <f t="shared" si="5"/>
        <v>1</v>
      </c>
      <c r="AB29" s="42">
        <f t="shared" si="6"/>
        <v>0.6</v>
      </c>
      <c r="AC29" s="43" t="b">
        <f t="shared" si="7"/>
        <v>1</v>
      </c>
      <c r="AD29" s="43" t="b">
        <f t="shared" si="8"/>
        <v>1</v>
      </c>
    </row>
    <row r="30" spans="1:71" ht="37.5" customHeight="1" x14ac:dyDescent="0.25">
      <c r="A30" s="206">
        <v>28</v>
      </c>
      <c r="B30" s="50" t="s">
        <v>159</v>
      </c>
      <c r="C30" s="193" t="s">
        <v>86</v>
      </c>
      <c r="D30" s="195" t="s">
        <v>107</v>
      </c>
      <c r="E30" s="195">
        <v>1611053</v>
      </c>
      <c r="F30" s="178" t="s">
        <v>66</v>
      </c>
      <c r="G30" s="178" t="s">
        <v>185</v>
      </c>
      <c r="H30" s="178" t="s">
        <v>65</v>
      </c>
      <c r="I30" s="179">
        <v>0.13300000000000001</v>
      </c>
      <c r="J30" s="180" t="s">
        <v>193</v>
      </c>
      <c r="K30" s="243">
        <v>1207860</v>
      </c>
      <c r="L30" s="219">
        <f t="shared" si="16"/>
        <v>724716</v>
      </c>
      <c r="M30" s="244">
        <f t="shared" si="17"/>
        <v>483144</v>
      </c>
      <c r="N30" s="196">
        <v>0.6</v>
      </c>
      <c r="O30" s="243">
        <v>0</v>
      </c>
      <c r="P30" s="243">
        <v>0</v>
      </c>
      <c r="Q30" s="243">
        <v>0</v>
      </c>
      <c r="R30" s="243">
        <v>0</v>
      </c>
      <c r="S30" s="243">
        <v>0</v>
      </c>
      <c r="T30" s="243">
        <v>0</v>
      </c>
      <c r="U30" s="243">
        <f t="shared" si="18"/>
        <v>724716</v>
      </c>
      <c r="V30" s="243">
        <v>0</v>
      </c>
      <c r="W30" s="243">
        <v>0</v>
      </c>
      <c r="X30" s="243">
        <v>0</v>
      </c>
      <c r="Y30" s="243">
        <v>0</v>
      </c>
      <c r="Z30" s="243">
        <v>0</v>
      </c>
      <c r="AA30" s="1" t="b">
        <f t="shared" si="5"/>
        <v>1</v>
      </c>
      <c r="AB30" s="42">
        <f t="shared" si="6"/>
        <v>0.6</v>
      </c>
      <c r="AC30" s="43" t="b">
        <f t="shared" si="7"/>
        <v>1</v>
      </c>
      <c r="AD30" s="43" t="b">
        <f t="shared" si="8"/>
        <v>1</v>
      </c>
    </row>
    <row r="31" spans="1:71" s="249" customFormat="1" ht="30" customHeight="1" x14ac:dyDescent="0.25">
      <c r="A31" s="206">
        <v>29</v>
      </c>
      <c r="B31" s="50" t="s">
        <v>160</v>
      </c>
      <c r="C31" s="193" t="s">
        <v>86</v>
      </c>
      <c r="D31" s="195" t="s">
        <v>108</v>
      </c>
      <c r="E31" s="195">
        <v>1601011</v>
      </c>
      <c r="F31" s="178" t="s">
        <v>63</v>
      </c>
      <c r="G31" s="178" t="s">
        <v>186</v>
      </c>
      <c r="H31" s="178" t="s">
        <v>60</v>
      </c>
      <c r="I31" s="179">
        <v>9.4E-2</v>
      </c>
      <c r="J31" s="180" t="s">
        <v>181</v>
      </c>
      <c r="K31" s="243">
        <v>489034.23999999999</v>
      </c>
      <c r="L31" s="219">
        <f t="shared" si="16"/>
        <v>489034.23999999999</v>
      </c>
      <c r="M31" s="244">
        <f t="shared" ref="M31:M32" si="19">K31-L31</f>
        <v>0</v>
      </c>
      <c r="N31" s="196">
        <v>1</v>
      </c>
      <c r="O31" s="243">
        <v>0</v>
      </c>
      <c r="P31" s="243">
        <v>0</v>
      </c>
      <c r="Q31" s="243">
        <v>0</v>
      </c>
      <c r="R31" s="243">
        <v>0</v>
      </c>
      <c r="S31" s="243">
        <v>0</v>
      </c>
      <c r="T31" s="243">
        <v>0</v>
      </c>
      <c r="U31" s="243">
        <f t="shared" ref="U31:U32" si="20">L31</f>
        <v>489034.23999999999</v>
      </c>
      <c r="V31" s="243">
        <v>0</v>
      </c>
      <c r="W31" s="243">
        <v>0</v>
      </c>
      <c r="X31" s="243">
        <v>0</v>
      </c>
      <c r="Y31" s="243">
        <v>0</v>
      </c>
      <c r="Z31" s="243">
        <v>0</v>
      </c>
      <c r="AA31" s="1" t="b">
        <f t="shared" si="5"/>
        <v>1</v>
      </c>
      <c r="AB31" s="42">
        <f t="shared" si="6"/>
        <v>1</v>
      </c>
      <c r="AC31" s="43" t="b">
        <f t="shared" si="7"/>
        <v>1</v>
      </c>
      <c r="AD31" s="43" t="b">
        <f t="shared" si="8"/>
        <v>1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</row>
    <row r="32" spans="1:71" s="249" customFormat="1" ht="36" customHeight="1" x14ac:dyDescent="0.25">
      <c r="A32" s="256">
        <v>30</v>
      </c>
      <c r="B32" s="50" t="s">
        <v>161</v>
      </c>
      <c r="C32" s="193" t="s">
        <v>86</v>
      </c>
      <c r="D32" s="195" t="s">
        <v>111</v>
      </c>
      <c r="E32" s="195">
        <v>1603011</v>
      </c>
      <c r="F32" s="178" t="s">
        <v>77</v>
      </c>
      <c r="G32" s="178" t="s">
        <v>187</v>
      </c>
      <c r="H32" s="178" t="s">
        <v>65</v>
      </c>
      <c r="I32" s="179">
        <v>0.21761</v>
      </c>
      <c r="J32" s="180" t="s">
        <v>106</v>
      </c>
      <c r="K32" s="243">
        <v>1977169.85</v>
      </c>
      <c r="L32" s="219">
        <v>1975550</v>
      </c>
      <c r="M32" s="244">
        <f t="shared" si="19"/>
        <v>1619.8500000000931</v>
      </c>
      <c r="N32" s="272">
        <v>0.99919999999999998</v>
      </c>
      <c r="O32" s="243">
        <v>0</v>
      </c>
      <c r="P32" s="243">
        <v>0</v>
      </c>
      <c r="Q32" s="243">
        <v>0</v>
      </c>
      <c r="R32" s="243">
        <v>0</v>
      </c>
      <c r="S32" s="243">
        <v>0</v>
      </c>
      <c r="T32" s="243">
        <v>0</v>
      </c>
      <c r="U32" s="243">
        <f t="shared" si="20"/>
        <v>1975550</v>
      </c>
      <c r="V32" s="243">
        <v>0</v>
      </c>
      <c r="W32" s="243">
        <v>0</v>
      </c>
      <c r="X32" s="243">
        <v>0</v>
      </c>
      <c r="Y32" s="243">
        <v>0</v>
      </c>
      <c r="Z32" s="243">
        <v>0</v>
      </c>
      <c r="AA32" s="1" t="b">
        <f t="shared" ref="AA32:AA34" si="21">L32=SUM(O32:Z32)</f>
        <v>1</v>
      </c>
      <c r="AB32" s="42">
        <f t="shared" ref="AB32:AB34" si="22">ROUND(L32/K32,4)</f>
        <v>0.99919999999999998</v>
      </c>
      <c r="AC32" s="43" t="b">
        <f t="shared" ref="AC32:AC34" si="23">AB32=N32</f>
        <v>1</v>
      </c>
      <c r="AD32" s="43" t="b">
        <f t="shared" ref="AD32:AD34" si="24">K32=L32+M32</f>
        <v>1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</row>
    <row r="33" spans="1:71" s="249" customFormat="1" ht="37.5" customHeight="1" x14ac:dyDescent="0.25">
      <c r="A33" s="254">
        <v>31</v>
      </c>
      <c r="B33" s="183" t="s">
        <v>217</v>
      </c>
      <c r="C33" s="192" t="s">
        <v>84</v>
      </c>
      <c r="D33" s="194" t="s">
        <v>121</v>
      </c>
      <c r="E33" s="258">
        <v>1609052</v>
      </c>
      <c r="F33" s="184" t="s">
        <v>58</v>
      </c>
      <c r="G33" s="184" t="s">
        <v>188</v>
      </c>
      <c r="H33" s="184" t="s">
        <v>60</v>
      </c>
      <c r="I33" s="185">
        <v>0.31087999999999999</v>
      </c>
      <c r="J33" s="186" t="s">
        <v>236</v>
      </c>
      <c r="K33" s="212">
        <v>1017219.6</v>
      </c>
      <c r="L33" s="213">
        <f t="shared" ref="L33:L35" si="25">ROUNDDOWN(K33*N33,2)</f>
        <v>1017219.6</v>
      </c>
      <c r="M33" s="211">
        <f t="shared" ref="M33:M34" si="26">K33-L33</f>
        <v>0</v>
      </c>
      <c r="N33" s="255">
        <v>1</v>
      </c>
      <c r="O33" s="212">
        <v>0</v>
      </c>
      <c r="P33" s="212">
        <v>0</v>
      </c>
      <c r="Q33" s="212">
        <v>0</v>
      </c>
      <c r="R33" s="212">
        <v>0</v>
      </c>
      <c r="S33" s="212">
        <v>0</v>
      </c>
      <c r="T33" s="212">
        <v>0</v>
      </c>
      <c r="U33" s="211">
        <f>K33-V33</f>
        <v>450955.23</v>
      </c>
      <c r="V33" s="211">
        <v>566264.37</v>
      </c>
      <c r="W33" s="212">
        <v>0</v>
      </c>
      <c r="X33" s="212">
        <v>0</v>
      </c>
      <c r="Y33" s="212">
        <v>0</v>
      </c>
      <c r="Z33" s="212">
        <v>0</v>
      </c>
      <c r="AA33" s="1" t="b">
        <f t="shared" si="21"/>
        <v>1</v>
      </c>
      <c r="AB33" s="42">
        <f t="shared" si="22"/>
        <v>1</v>
      </c>
      <c r="AC33" s="43" t="b">
        <f t="shared" si="23"/>
        <v>1</v>
      </c>
      <c r="AD33" s="43" t="b">
        <f t="shared" si="24"/>
        <v>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</row>
    <row r="34" spans="1:71" s="249" customFormat="1" ht="38.25" customHeight="1" x14ac:dyDescent="0.25">
      <c r="A34" s="256">
        <v>32</v>
      </c>
      <c r="B34" s="50" t="s">
        <v>218</v>
      </c>
      <c r="C34" s="193" t="s">
        <v>86</v>
      </c>
      <c r="D34" s="195" t="s">
        <v>176</v>
      </c>
      <c r="E34" s="51">
        <v>1609083</v>
      </c>
      <c r="F34" s="178" t="s">
        <v>58</v>
      </c>
      <c r="G34" s="178" t="s">
        <v>190</v>
      </c>
      <c r="H34" s="178" t="s">
        <v>69</v>
      </c>
      <c r="I34" s="179">
        <v>0.245</v>
      </c>
      <c r="J34" s="180" t="s">
        <v>181</v>
      </c>
      <c r="K34" s="243">
        <v>186845.52</v>
      </c>
      <c r="L34" s="219">
        <f t="shared" si="25"/>
        <v>186845.52</v>
      </c>
      <c r="M34" s="244">
        <f t="shared" si="26"/>
        <v>0</v>
      </c>
      <c r="N34" s="196">
        <v>1</v>
      </c>
      <c r="O34" s="243">
        <v>0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f t="shared" ref="U34" si="27">L34</f>
        <v>186845.52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1" t="b">
        <f t="shared" si="21"/>
        <v>1</v>
      </c>
      <c r="AB34" s="42">
        <f t="shared" si="22"/>
        <v>1</v>
      </c>
      <c r="AC34" s="43" t="b">
        <f t="shared" si="23"/>
        <v>1</v>
      </c>
      <c r="AD34" s="43" t="b">
        <f t="shared" si="24"/>
        <v>1</v>
      </c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</row>
    <row r="35" spans="1:71" s="270" customFormat="1" ht="38.25" customHeight="1" x14ac:dyDescent="0.25">
      <c r="A35" s="206">
        <v>33</v>
      </c>
      <c r="B35" s="50" t="s">
        <v>219</v>
      </c>
      <c r="C35" s="193" t="s">
        <v>86</v>
      </c>
      <c r="D35" s="195" t="s">
        <v>191</v>
      </c>
      <c r="E35" s="51">
        <v>1609092</v>
      </c>
      <c r="F35" s="178" t="s">
        <v>58</v>
      </c>
      <c r="G35" s="178" t="s">
        <v>192</v>
      </c>
      <c r="H35" s="178" t="s">
        <v>65</v>
      </c>
      <c r="I35" s="179">
        <v>0.501</v>
      </c>
      <c r="J35" s="180" t="s">
        <v>239</v>
      </c>
      <c r="K35" s="243">
        <v>966532.17</v>
      </c>
      <c r="L35" s="219">
        <f t="shared" si="25"/>
        <v>966532.17</v>
      </c>
      <c r="M35" s="244">
        <f t="shared" ref="M35" si="28">K35-L35</f>
        <v>0</v>
      </c>
      <c r="N35" s="196">
        <v>1</v>
      </c>
      <c r="O35" s="243">
        <v>0</v>
      </c>
      <c r="P35" s="243">
        <v>0</v>
      </c>
      <c r="Q35" s="243">
        <v>0</v>
      </c>
      <c r="R35" s="243">
        <v>0</v>
      </c>
      <c r="S35" s="243">
        <v>0</v>
      </c>
      <c r="T35" s="243">
        <v>0</v>
      </c>
      <c r="U35" s="243">
        <f>L35</f>
        <v>966532.17</v>
      </c>
      <c r="V35" s="243">
        <v>0</v>
      </c>
      <c r="W35" s="243">
        <v>0</v>
      </c>
      <c r="X35" s="243">
        <v>0</v>
      </c>
      <c r="Y35" s="243">
        <v>0</v>
      </c>
      <c r="Z35" s="243">
        <v>0</v>
      </c>
      <c r="AA35" s="266" t="b">
        <f t="shared" ref="AA35" si="29">L35=SUM(O35:Z35)</f>
        <v>1</v>
      </c>
      <c r="AB35" s="267">
        <f t="shared" ref="AB35" si="30">ROUND(L35/K35,4)</f>
        <v>1</v>
      </c>
      <c r="AC35" s="268" t="b">
        <f t="shared" ref="AC35" si="31">AB35=N35</f>
        <v>1</v>
      </c>
      <c r="AD35" s="268" t="b">
        <f t="shared" ref="AD35" si="32">K35=L35+M35</f>
        <v>1</v>
      </c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</row>
    <row r="36" spans="1:71" ht="20.100000000000001" customHeight="1" x14ac:dyDescent="0.25">
      <c r="A36" s="329" t="s">
        <v>44</v>
      </c>
      <c r="B36" s="330"/>
      <c r="C36" s="330"/>
      <c r="D36" s="330"/>
      <c r="E36" s="330"/>
      <c r="F36" s="330"/>
      <c r="G36" s="330"/>
      <c r="H36" s="331"/>
      <c r="I36" s="220">
        <f>SUM(I3:I35)</f>
        <v>14.868290000000002</v>
      </c>
      <c r="J36" s="221" t="s">
        <v>14</v>
      </c>
      <c r="K36" s="222">
        <f>SUM(K3:K35)</f>
        <v>78532408.649999991</v>
      </c>
      <c r="L36" s="223">
        <f>SUM(L3:L35)</f>
        <v>66376982.280000016</v>
      </c>
      <c r="M36" s="223">
        <f>SUM(M3:M35)</f>
        <v>12155426.369999997</v>
      </c>
      <c r="N36" s="224" t="s">
        <v>14</v>
      </c>
      <c r="O36" s="223">
        <f t="shared" ref="O36:Z36" si="33">SUM(O3:O35)</f>
        <v>0</v>
      </c>
      <c r="P36" s="223">
        <f t="shared" si="33"/>
        <v>0</v>
      </c>
      <c r="Q36" s="225">
        <f t="shared" si="33"/>
        <v>0</v>
      </c>
      <c r="R36" s="225">
        <f t="shared" si="33"/>
        <v>0</v>
      </c>
      <c r="S36" s="225">
        <f t="shared" si="33"/>
        <v>0</v>
      </c>
      <c r="T36" s="225">
        <f t="shared" si="33"/>
        <v>14022501.559999999</v>
      </c>
      <c r="U36" s="225">
        <f t="shared" si="33"/>
        <v>44230846.289999999</v>
      </c>
      <c r="V36" s="225">
        <f t="shared" si="33"/>
        <v>8123634.4300000006</v>
      </c>
      <c r="W36" s="225">
        <f t="shared" si="33"/>
        <v>0</v>
      </c>
      <c r="X36" s="225">
        <f t="shared" si="33"/>
        <v>0</v>
      </c>
      <c r="Y36" s="225">
        <f t="shared" si="33"/>
        <v>0</v>
      </c>
      <c r="Z36" s="225">
        <f t="shared" si="33"/>
        <v>0</v>
      </c>
    </row>
    <row r="37" spans="1:71" ht="20.100000000000001" customHeight="1" x14ac:dyDescent="0.25">
      <c r="A37" s="329" t="s">
        <v>37</v>
      </c>
      <c r="B37" s="330"/>
      <c r="C37" s="330"/>
      <c r="D37" s="330"/>
      <c r="E37" s="330"/>
      <c r="F37" s="330"/>
      <c r="G37" s="330"/>
      <c r="H37" s="331"/>
      <c r="I37" s="220">
        <f>SUMIF($C$3:$C$35,"K",I3:I35)</f>
        <v>5.3083399999999994</v>
      </c>
      <c r="J37" s="221" t="s">
        <v>14</v>
      </c>
      <c r="K37" s="222">
        <f>SUMIF($C$3:$C$35,"K",K3:K35)</f>
        <v>36125612.620000005</v>
      </c>
      <c r="L37" s="223">
        <f>SUMIF($C$3:$C$35,"K",L3:L35)</f>
        <v>25691196.719999999</v>
      </c>
      <c r="M37" s="223">
        <f>SUMIF($C$3:$C$35,"K",M3:M35)</f>
        <v>10434415.899999997</v>
      </c>
      <c r="N37" s="224" t="s">
        <v>14</v>
      </c>
      <c r="O37" s="223">
        <f t="shared" ref="O37:Z37" si="34">SUMIF($C$3:$C$35,"K",O3:O35)</f>
        <v>0</v>
      </c>
      <c r="P37" s="223">
        <f t="shared" si="34"/>
        <v>0</v>
      </c>
      <c r="Q37" s="225">
        <f t="shared" si="34"/>
        <v>0</v>
      </c>
      <c r="R37" s="225">
        <f t="shared" si="34"/>
        <v>0</v>
      </c>
      <c r="S37" s="225">
        <f t="shared" si="34"/>
        <v>0</v>
      </c>
      <c r="T37" s="225">
        <f t="shared" si="34"/>
        <v>14022501.559999999</v>
      </c>
      <c r="U37" s="225">
        <f t="shared" si="34"/>
        <v>9681344.3999999985</v>
      </c>
      <c r="V37" s="225">
        <f t="shared" si="34"/>
        <v>1987350.7600000007</v>
      </c>
      <c r="W37" s="225">
        <f t="shared" si="34"/>
        <v>0</v>
      </c>
      <c r="X37" s="225">
        <f t="shared" si="34"/>
        <v>0</v>
      </c>
      <c r="Y37" s="225">
        <f t="shared" si="34"/>
        <v>0</v>
      </c>
      <c r="Z37" s="225">
        <f t="shared" si="34"/>
        <v>0</v>
      </c>
    </row>
    <row r="38" spans="1:71" ht="20.100000000000001" customHeight="1" x14ac:dyDescent="0.25">
      <c r="A38" s="329" t="s">
        <v>38</v>
      </c>
      <c r="B38" s="330"/>
      <c r="C38" s="330"/>
      <c r="D38" s="330"/>
      <c r="E38" s="330"/>
      <c r="F38" s="330"/>
      <c r="G38" s="330"/>
      <c r="H38" s="331"/>
      <c r="I38" s="220">
        <f>SUMIF($C$3:$C$35,"N",I3:I35)</f>
        <v>7.6235400000000011</v>
      </c>
      <c r="J38" s="221" t="s">
        <v>14</v>
      </c>
      <c r="K38" s="222">
        <f>SUMIF($C$3:$C$35,"N",K3:K35)</f>
        <v>23563931.649999999</v>
      </c>
      <c r="L38" s="223">
        <f>SUMIF($C$3:$C$35,"N",L3:L35)</f>
        <v>21842921.18</v>
      </c>
      <c r="M38" s="223">
        <f>SUMIF($C$3:$C$35,"N",M3:M35)</f>
        <v>1721010.4700000002</v>
      </c>
      <c r="N38" s="224" t="s">
        <v>14</v>
      </c>
      <c r="O38" s="223">
        <f t="shared" ref="O38:Z38" si="35">SUMIF($C$3:$C$35,"N",O3:O35)</f>
        <v>0</v>
      </c>
      <c r="P38" s="223">
        <f t="shared" si="35"/>
        <v>0</v>
      </c>
      <c r="Q38" s="225">
        <f t="shared" si="35"/>
        <v>0</v>
      </c>
      <c r="R38" s="225">
        <f t="shared" si="35"/>
        <v>0</v>
      </c>
      <c r="S38" s="225">
        <f t="shared" si="35"/>
        <v>0</v>
      </c>
      <c r="T38" s="225">
        <f t="shared" si="35"/>
        <v>0</v>
      </c>
      <c r="U38" s="225">
        <f t="shared" si="35"/>
        <v>21842921.18</v>
      </c>
      <c r="V38" s="225">
        <f t="shared" si="35"/>
        <v>0</v>
      </c>
      <c r="W38" s="225">
        <f t="shared" si="35"/>
        <v>0</v>
      </c>
      <c r="X38" s="225">
        <f t="shared" si="35"/>
        <v>0</v>
      </c>
      <c r="Y38" s="225">
        <f t="shared" si="35"/>
        <v>0</v>
      </c>
      <c r="Z38" s="225">
        <f t="shared" si="35"/>
        <v>0</v>
      </c>
    </row>
    <row r="39" spans="1:71" ht="20.100000000000001" customHeight="1" x14ac:dyDescent="0.25">
      <c r="A39" s="326" t="s">
        <v>39</v>
      </c>
      <c r="B39" s="327"/>
      <c r="C39" s="327"/>
      <c r="D39" s="327"/>
      <c r="E39" s="327"/>
      <c r="F39" s="327"/>
      <c r="G39" s="327"/>
      <c r="H39" s="328"/>
      <c r="I39" s="226">
        <f>SUMIF($C$3:$C$35,"W",I3:I35)</f>
        <v>1.93641</v>
      </c>
      <c r="J39" s="227" t="s">
        <v>14</v>
      </c>
      <c r="K39" s="228">
        <f>SUMIF($C$3:$C$35,"W",K3:K35)</f>
        <v>18842864.380000003</v>
      </c>
      <c r="L39" s="229">
        <f>SUMIF($C$3:$C$35,"W",L3:L35)</f>
        <v>18842864.380000003</v>
      </c>
      <c r="M39" s="229">
        <f>SUMIF($C$3:$C$35,"W",M3:M35)</f>
        <v>0</v>
      </c>
      <c r="N39" s="230" t="s">
        <v>14</v>
      </c>
      <c r="O39" s="229">
        <f t="shared" ref="O39:Z39" si="36">SUMIF($C$3:$C$35,"W",O3:O35)</f>
        <v>0</v>
      </c>
      <c r="P39" s="229">
        <f t="shared" si="36"/>
        <v>0</v>
      </c>
      <c r="Q39" s="231">
        <f t="shared" si="36"/>
        <v>0</v>
      </c>
      <c r="R39" s="231">
        <f t="shared" si="36"/>
        <v>0</v>
      </c>
      <c r="S39" s="231">
        <f t="shared" si="36"/>
        <v>0</v>
      </c>
      <c r="T39" s="231">
        <f t="shared" si="36"/>
        <v>0</v>
      </c>
      <c r="U39" s="231">
        <f t="shared" si="36"/>
        <v>12706580.710000001</v>
      </c>
      <c r="V39" s="231">
        <f t="shared" si="36"/>
        <v>6136283.6700000009</v>
      </c>
      <c r="W39" s="231">
        <f t="shared" si="36"/>
        <v>0</v>
      </c>
      <c r="X39" s="231">
        <f t="shared" si="36"/>
        <v>0</v>
      </c>
      <c r="Y39" s="231">
        <f t="shared" si="36"/>
        <v>0</v>
      </c>
      <c r="Z39" s="231">
        <f t="shared" si="36"/>
        <v>0</v>
      </c>
    </row>
    <row r="40" spans="1:71" x14ac:dyDescent="0.25">
      <c r="A40" s="232"/>
      <c r="K40" s="234"/>
    </row>
    <row r="41" spans="1:71" x14ac:dyDescent="0.25">
      <c r="A41" s="236" t="s">
        <v>24</v>
      </c>
      <c r="N41" s="276"/>
    </row>
    <row r="42" spans="1:71" x14ac:dyDescent="0.25">
      <c r="A42" s="238" t="s">
        <v>25</v>
      </c>
      <c r="N42" s="278"/>
      <c r="P42" s="264"/>
    </row>
    <row r="43" spans="1:71" x14ac:dyDescent="0.25">
      <c r="A43" s="236" t="s">
        <v>42</v>
      </c>
      <c r="N43" s="277"/>
    </row>
    <row r="44" spans="1:71" x14ac:dyDescent="0.25">
      <c r="A44" s="239" t="s">
        <v>46</v>
      </c>
    </row>
    <row r="46" spans="1:71" x14ac:dyDescent="0.25">
      <c r="N46" s="260"/>
    </row>
    <row r="47" spans="1:71" x14ac:dyDescent="0.25">
      <c r="N47" s="260"/>
    </row>
  </sheetData>
  <autoFilter ref="A2:BS39" xr:uid="{00000000-0009-0000-0000-000002000000}"/>
  <mergeCells count="19">
    <mergeCell ref="F1:F2"/>
    <mergeCell ref="G1:G2"/>
    <mergeCell ref="D1:D2"/>
    <mergeCell ref="O1:Z1"/>
    <mergeCell ref="A39:H39"/>
    <mergeCell ref="A38:H38"/>
    <mergeCell ref="E1:E2"/>
    <mergeCell ref="A37:H37"/>
    <mergeCell ref="N1:N2"/>
    <mergeCell ref="L1:L2"/>
    <mergeCell ref="M1:M2"/>
    <mergeCell ref="A36:H36"/>
    <mergeCell ref="H1:H2"/>
    <mergeCell ref="I1:I2"/>
    <mergeCell ref="J1:J2"/>
    <mergeCell ref="K1:K2"/>
    <mergeCell ref="A1:A2"/>
    <mergeCell ref="B1:B2"/>
    <mergeCell ref="C1:C2"/>
  </mergeCells>
  <conditionalFormatting sqref="AA3:AC35">
    <cfRule type="containsText" dxfId="6" priority="2" operator="containsText" text="fałsz">
      <formula>NOT(ISERROR(SEARCH("fałsz",AA3)))</formula>
    </cfRule>
  </conditionalFormatting>
  <conditionalFormatting sqref="AA3:AD35">
    <cfRule type="cellIs" dxfId="5" priority="1" operator="equal">
      <formula>FALSE</formula>
    </cfRule>
  </conditionalFormatting>
  <dataValidations count="3">
    <dataValidation type="list" allowBlank="1" showInputMessage="1" showErrorMessage="1" sqref="H3:H32 G32:G35" xr:uid="{00000000-0002-0000-0200-000000000000}">
      <formula1>"B,P,R"</formula1>
    </dataValidation>
    <dataValidation type="list" allowBlank="1" showInputMessage="1" showErrorMessage="1" sqref="C3:C19" xr:uid="{00000000-0002-0000-0200-000001000000}">
      <formula1>"N,K,W"</formula1>
    </dataValidation>
    <dataValidation type="list" allowBlank="1" showInputMessage="1" showErrorMessage="1" sqref="C20:C35" xr:uid="{00000000-0002-0000-0200-000002000000}">
      <formula1>"N,W"</formula1>
    </dataValidation>
  </dataValidations>
  <pageMargins left="0.25" right="0.25" top="0.75" bottom="0.75" header="0.3" footer="0.3"/>
  <pageSetup paperSize="8" scale="56" orientation="landscape" r:id="rId1"/>
  <headerFooter>
    <oddHeader>&amp;LWojewództwo &amp;KFF0000OPOLSKIE&amp;K01+000 -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2"/>
  <sheetViews>
    <sheetView showGridLines="0" zoomScale="78" zoomScaleNormal="78" zoomScaleSheetLayoutView="85" workbookViewId="0">
      <selection activeCell="I26" sqref="I26"/>
    </sheetView>
  </sheetViews>
  <sheetFormatPr defaultColWidth="9.28515625" defaultRowHeight="15" x14ac:dyDescent="0.25"/>
  <cols>
    <col min="1" max="1" width="5.28515625" style="13" customWidth="1"/>
    <col min="2" max="2" width="13.28515625" style="13" customWidth="1"/>
    <col min="3" max="3" width="11.5703125" style="13" customWidth="1"/>
    <col min="4" max="4" width="15.7109375" style="13" customWidth="1"/>
    <col min="5" max="5" width="6.28515625" style="13" customWidth="1"/>
    <col min="6" max="6" width="47.28515625" style="13" customWidth="1"/>
    <col min="7" max="7" width="7.7109375" style="13" customWidth="1"/>
    <col min="8" max="8" width="8.7109375" style="13" customWidth="1"/>
    <col min="9" max="9" width="14.5703125" style="13" customWidth="1"/>
    <col min="10" max="10" width="12.28515625" style="37" customWidth="1"/>
    <col min="11" max="11" width="15.42578125" style="13" customWidth="1"/>
    <col min="12" max="12" width="13.7109375" style="13" customWidth="1"/>
    <col min="13" max="13" width="13.28515625" style="1" customWidth="1"/>
    <col min="14" max="18" width="6.7109375" style="13" customWidth="1"/>
    <col min="19" max="19" width="12.28515625" style="13" customWidth="1"/>
    <col min="20" max="25" width="6.7109375" style="13" customWidth="1"/>
    <col min="26" max="29" width="15.7109375" style="13" customWidth="1"/>
    <col min="30" max="16384" width="9.28515625" style="13"/>
  </cols>
  <sheetData>
    <row r="1" spans="1:30" ht="20.100000000000001" customHeight="1" x14ac:dyDescent="0.25">
      <c r="A1" s="314" t="s">
        <v>4</v>
      </c>
      <c r="B1" s="314" t="s">
        <v>5</v>
      </c>
      <c r="C1" s="322" t="s">
        <v>45</v>
      </c>
      <c r="D1" s="318" t="s">
        <v>6</v>
      </c>
      <c r="E1" s="322" t="s">
        <v>32</v>
      </c>
      <c r="F1" s="318" t="s">
        <v>7</v>
      </c>
      <c r="G1" s="314" t="s">
        <v>26</v>
      </c>
      <c r="H1" s="314" t="s">
        <v>8</v>
      </c>
      <c r="I1" s="314" t="s">
        <v>23</v>
      </c>
      <c r="J1" s="315" t="s">
        <v>9</v>
      </c>
      <c r="K1" s="314" t="s">
        <v>10</v>
      </c>
      <c r="L1" s="318" t="s">
        <v>13</v>
      </c>
      <c r="M1" s="314" t="s">
        <v>11</v>
      </c>
      <c r="N1" s="323" t="s">
        <v>12</v>
      </c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</row>
    <row r="2" spans="1:30" ht="20.100000000000001" customHeight="1" x14ac:dyDescent="0.25">
      <c r="A2" s="314"/>
      <c r="B2" s="314"/>
      <c r="C2" s="323"/>
      <c r="D2" s="319"/>
      <c r="E2" s="323"/>
      <c r="F2" s="319"/>
      <c r="G2" s="314"/>
      <c r="H2" s="314"/>
      <c r="I2" s="314"/>
      <c r="J2" s="315"/>
      <c r="K2" s="314"/>
      <c r="L2" s="319"/>
      <c r="M2" s="314"/>
      <c r="N2" s="36">
        <v>2019</v>
      </c>
      <c r="O2" s="36">
        <v>2020</v>
      </c>
      <c r="P2" s="36">
        <v>2021</v>
      </c>
      <c r="Q2" s="36">
        <v>2022</v>
      </c>
      <c r="R2" s="36">
        <v>2023</v>
      </c>
      <c r="S2" s="36">
        <v>2024</v>
      </c>
      <c r="T2" s="36">
        <v>2025</v>
      </c>
      <c r="U2" s="36">
        <v>2026</v>
      </c>
      <c r="V2" s="36">
        <v>2027</v>
      </c>
      <c r="W2" s="36">
        <v>2028</v>
      </c>
      <c r="X2" s="170">
        <v>2029</v>
      </c>
      <c r="Y2" s="170">
        <v>2030</v>
      </c>
      <c r="Z2" s="1" t="s">
        <v>28</v>
      </c>
      <c r="AA2" s="1" t="s">
        <v>29</v>
      </c>
      <c r="AB2" s="1" t="s">
        <v>30</v>
      </c>
      <c r="AC2" s="41" t="s">
        <v>31</v>
      </c>
    </row>
    <row r="3" spans="1:30" ht="40.5" customHeight="1" x14ac:dyDescent="0.25">
      <c r="A3" s="205"/>
      <c r="B3" s="50"/>
      <c r="C3" s="193"/>
      <c r="D3" s="240"/>
      <c r="E3" s="53"/>
      <c r="F3" s="241"/>
      <c r="G3" s="178"/>
      <c r="H3" s="179"/>
      <c r="I3" s="180"/>
      <c r="J3" s="54"/>
      <c r="K3" s="46"/>
      <c r="L3" s="47"/>
      <c r="M3" s="191"/>
      <c r="N3" s="190"/>
      <c r="O3" s="187"/>
      <c r="P3" s="188"/>
      <c r="Q3" s="188"/>
      <c r="R3" s="188"/>
      <c r="S3" s="204"/>
      <c r="T3" s="52"/>
      <c r="U3" s="52"/>
      <c r="V3" s="189"/>
      <c r="W3" s="188"/>
      <c r="X3" s="188"/>
      <c r="Y3" s="188"/>
      <c r="Z3" s="1" t="b">
        <f>K3=SUM(N3:Y3)</f>
        <v>1</v>
      </c>
      <c r="AA3" s="42" t="e">
        <f>ROUND(K3/J3,4)</f>
        <v>#DIV/0!</v>
      </c>
      <c r="AB3" s="43" t="e">
        <f>AA3=M3</f>
        <v>#DIV/0!</v>
      </c>
      <c r="AC3" s="43" t="b">
        <f>J3=K3+L3</f>
        <v>1</v>
      </c>
    </row>
    <row r="4" spans="1:30" s="44" customFormat="1" ht="30" customHeight="1" x14ac:dyDescent="0.25">
      <c r="A4" s="178"/>
      <c r="B4" s="50"/>
      <c r="C4" s="193"/>
      <c r="D4" s="240"/>
      <c r="E4" s="53"/>
      <c r="F4" s="241"/>
      <c r="G4" s="178"/>
      <c r="H4" s="179"/>
      <c r="I4" s="180"/>
      <c r="J4" s="55"/>
      <c r="K4" s="46"/>
      <c r="L4" s="47"/>
      <c r="M4" s="191"/>
      <c r="N4" s="190"/>
      <c r="O4" s="187"/>
      <c r="P4" s="188"/>
      <c r="Q4" s="188"/>
      <c r="R4" s="188"/>
      <c r="S4" s="52"/>
      <c r="T4" s="52"/>
      <c r="U4" s="52"/>
      <c r="V4" s="189"/>
      <c r="W4" s="188"/>
      <c r="X4" s="188"/>
      <c r="Y4" s="188"/>
      <c r="Z4" s="1" t="b">
        <f>K4=SUM(N4:Y4)</f>
        <v>1</v>
      </c>
      <c r="AA4" s="42" t="e">
        <f>ROUND(K4/J4,4)</f>
        <v>#DIV/0!</v>
      </c>
      <c r="AB4" s="43" t="e">
        <f>AA4=M4</f>
        <v>#DIV/0!</v>
      </c>
      <c r="AC4" s="43" t="b">
        <f>J4=K4+L4</f>
        <v>1</v>
      </c>
      <c r="AD4" s="45"/>
    </row>
    <row r="5" spans="1:30" ht="20.100000000000001" customHeight="1" x14ac:dyDescent="0.25">
      <c r="A5" s="340" t="s">
        <v>44</v>
      </c>
      <c r="B5" s="340"/>
      <c r="C5" s="340"/>
      <c r="D5" s="340"/>
      <c r="E5" s="340"/>
      <c r="F5" s="340"/>
      <c r="G5" s="340"/>
      <c r="H5" s="56">
        <f>SUM(H3:H4)</f>
        <v>0</v>
      </c>
      <c r="I5" s="57" t="s">
        <v>14</v>
      </c>
      <c r="J5" s="58">
        <f>SUM(J3:J4)</f>
        <v>0</v>
      </c>
      <c r="K5" s="59">
        <f>SUM(K3:K4)</f>
        <v>0</v>
      </c>
      <c r="L5" s="59">
        <f>SUM(L3:L4)</f>
        <v>0</v>
      </c>
      <c r="M5" s="60" t="s">
        <v>14</v>
      </c>
      <c r="N5" s="68">
        <f>SUM(N3:N4)</f>
        <v>0</v>
      </c>
      <c r="O5" s="68">
        <f t="shared" ref="O5:Y5" si="0">SUM(O3:O4)</f>
        <v>0</v>
      </c>
      <c r="P5" s="68">
        <f t="shared" si="0"/>
        <v>0</v>
      </c>
      <c r="Q5" s="68">
        <f t="shared" si="0"/>
        <v>0</v>
      </c>
      <c r="R5" s="68">
        <f t="shared" si="0"/>
        <v>0</v>
      </c>
      <c r="S5" s="68">
        <f t="shared" si="0"/>
        <v>0</v>
      </c>
      <c r="T5" s="68">
        <f t="shared" si="0"/>
        <v>0</v>
      </c>
      <c r="U5" s="68">
        <f t="shared" si="0"/>
        <v>0</v>
      </c>
      <c r="V5" s="68">
        <f t="shared" si="0"/>
        <v>0</v>
      </c>
      <c r="W5" s="68">
        <f t="shared" si="0"/>
        <v>0</v>
      </c>
      <c r="X5" s="68">
        <f t="shared" si="0"/>
        <v>0</v>
      </c>
      <c r="Y5" s="68">
        <f t="shared" si="0"/>
        <v>0</v>
      </c>
      <c r="Z5" s="1" t="b">
        <f>K5=SUM(N5:Y5)</f>
        <v>1</v>
      </c>
      <c r="AA5" s="42" t="e">
        <f>ROUND(K5/J5,4)</f>
        <v>#DIV/0!</v>
      </c>
      <c r="AB5" s="43" t="s">
        <v>14</v>
      </c>
      <c r="AC5" s="43" t="b">
        <f>J5=K5+L5</f>
        <v>1</v>
      </c>
      <c r="AD5" s="35"/>
    </row>
    <row r="6" spans="1:30" ht="20.100000000000001" customHeight="1" x14ac:dyDescent="0.25">
      <c r="A6" s="340" t="s">
        <v>38</v>
      </c>
      <c r="B6" s="340"/>
      <c r="C6" s="340"/>
      <c r="D6" s="340"/>
      <c r="E6" s="340"/>
      <c r="F6" s="340"/>
      <c r="G6" s="340"/>
      <c r="H6" s="56">
        <f>SUMIF($C$3:$C$4,"N",H3:H4)</f>
        <v>0</v>
      </c>
      <c r="I6" s="57" t="s">
        <v>14</v>
      </c>
      <c r="J6" s="58">
        <f>SUMIF($C$3:$C$4,"N",J3:J4)</f>
        <v>0</v>
      </c>
      <c r="K6" s="59">
        <f>SUMIF($C$3:$C$4,"N",K3:K4)</f>
        <v>0</v>
      </c>
      <c r="L6" s="59">
        <f>SUMIF($C$3:$C$4,"N",L3:L4)</f>
        <v>0</v>
      </c>
      <c r="M6" s="60" t="s">
        <v>14</v>
      </c>
      <c r="N6" s="68">
        <f>SUMIF($C$3:$C$4,"N",N3:N4)</f>
        <v>0</v>
      </c>
      <c r="O6" s="68">
        <f t="shared" ref="O6:Y6" si="1">SUMIF($C$3:$C$4,"N",O3:O4)</f>
        <v>0</v>
      </c>
      <c r="P6" s="68">
        <f t="shared" si="1"/>
        <v>0</v>
      </c>
      <c r="Q6" s="68">
        <f t="shared" si="1"/>
        <v>0</v>
      </c>
      <c r="R6" s="68">
        <f t="shared" si="1"/>
        <v>0</v>
      </c>
      <c r="S6" s="68">
        <f t="shared" si="1"/>
        <v>0</v>
      </c>
      <c r="T6" s="68">
        <f t="shared" si="1"/>
        <v>0</v>
      </c>
      <c r="U6" s="68">
        <f t="shared" si="1"/>
        <v>0</v>
      </c>
      <c r="V6" s="68">
        <f t="shared" si="1"/>
        <v>0</v>
      </c>
      <c r="W6" s="68">
        <f t="shared" si="1"/>
        <v>0</v>
      </c>
      <c r="X6" s="68">
        <f t="shared" si="1"/>
        <v>0</v>
      </c>
      <c r="Y6" s="68">
        <f t="shared" si="1"/>
        <v>0</v>
      </c>
      <c r="Z6" s="1" t="b">
        <f>K6=SUM(N6:Y6)</f>
        <v>1</v>
      </c>
      <c r="AA6" s="42" t="e">
        <f>ROUND(K6/J6,4)</f>
        <v>#DIV/0!</v>
      </c>
      <c r="AB6" s="43" t="s">
        <v>14</v>
      </c>
      <c r="AC6" s="43" t="b">
        <f>J6=K6+L6</f>
        <v>1</v>
      </c>
      <c r="AD6" s="35"/>
    </row>
    <row r="7" spans="1:30" ht="20.100000000000001" customHeight="1" x14ac:dyDescent="0.25">
      <c r="A7" s="339" t="s">
        <v>39</v>
      </c>
      <c r="B7" s="339"/>
      <c r="C7" s="339"/>
      <c r="D7" s="339"/>
      <c r="E7" s="339"/>
      <c r="F7" s="339"/>
      <c r="G7" s="339"/>
      <c r="H7" s="62">
        <f>SUMIF($C$3:$C$4,"W",H3:H4)</f>
        <v>0</v>
      </c>
      <c r="I7" s="63" t="s">
        <v>14</v>
      </c>
      <c r="J7" s="64">
        <f>SUMIF($C$3:$C$4,"W",J3:J4)</f>
        <v>0</v>
      </c>
      <c r="K7" s="65">
        <f>SUMIF($C$3:$C$4,"W",K3:K4)</f>
        <v>0</v>
      </c>
      <c r="L7" s="65">
        <f>SUMIF($C$3:$C$4,"W",L3:L4)</f>
        <v>0</v>
      </c>
      <c r="M7" s="66" t="s">
        <v>14</v>
      </c>
      <c r="N7" s="69">
        <f>SUMIF($C$3:$C$4,"W",N3:N4)</f>
        <v>0</v>
      </c>
      <c r="O7" s="69">
        <f t="shared" ref="O7:Y7" si="2">SUMIF($C$3:$C$4,"W",O3:O4)</f>
        <v>0</v>
      </c>
      <c r="P7" s="69">
        <f t="shared" si="2"/>
        <v>0</v>
      </c>
      <c r="Q7" s="69">
        <f t="shared" si="2"/>
        <v>0</v>
      </c>
      <c r="R7" s="69">
        <f t="shared" si="2"/>
        <v>0</v>
      </c>
      <c r="S7" s="69">
        <f t="shared" si="2"/>
        <v>0</v>
      </c>
      <c r="T7" s="69">
        <f t="shared" si="2"/>
        <v>0</v>
      </c>
      <c r="U7" s="69">
        <f t="shared" si="2"/>
        <v>0</v>
      </c>
      <c r="V7" s="69">
        <f t="shared" si="2"/>
        <v>0</v>
      </c>
      <c r="W7" s="69">
        <f t="shared" si="2"/>
        <v>0</v>
      </c>
      <c r="X7" s="69">
        <f t="shared" si="2"/>
        <v>0</v>
      </c>
      <c r="Y7" s="69">
        <f t="shared" si="2"/>
        <v>0</v>
      </c>
      <c r="Z7" s="1" t="b">
        <f>K7=SUM(N7:Y7)</f>
        <v>1</v>
      </c>
      <c r="AA7" s="42" t="e">
        <f>ROUND(K7/J7,4)</f>
        <v>#DIV/0!</v>
      </c>
      <c r="AB7" s="43" t="s">
        <v>14</v>
      </c>
      <c r="AC7" s="43" t="b">
        <f>J7=K7+L7</f>
        <v>1</v>
      </c>
      <c r="AD7" s="35"/>
    </row>
    <row r="8" spans="1:30" x14ac:dyDescent="0.25">
      <c r="A8" s="38"/>
    </row>
    <row r="9" spans="1:30" x14ac:dyDescent="0.25">
      <c r="A9" s="31" t="s">
        <v>24</v>
      </c>
    </row>
    <row r="10" spans="1:30" x14ac:dyDescent="0.25">
      <c r="A10" s="32" t="s">
        <v>25</v>
      </c>
    </row>
    <row r="11" spans="1:30" x14ac:dyDescent="0.25">
      <c r="A11" s="31" t="s">
        <v>35</v>
      </c>
    </row>
    <row r="12" spans="1:30" x14ac:dyDescent="0.25">
      <c r="A12" s="39"/>
    </row>
  </sheetData>
  <mergeCells count="17"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  <mergeCell ref="J1:J2"/>
    <mergeCell ref="K1:K2"/>
    <mergeCell ref="L1:L2"/>
    <mergeCell ref="M1:M2"/>
    <mergeCell ref="N1:Y1"/>
  </mergeCells>
  <conditionalFormatting sqref="Z3:AB7">
    <cfRule type="containsText" dxfId="4" priority="3" operator="containsText" text="fałsz">
      <formula>NOT(ISERROR(SEARCH("fałsz",Z3)))</formula>
    </cfRule>
  </conditionalFormatting>
  <conditionalFormatting sqref="Z3:AC3">
    <cfRule type="cellIs" dxfId="3" priority="14" operator="equal">
      <formula>FALSE</formula>
    </cfRule>
  </conditionalFormatting>
  <conditionalFormatting sqref="Z4:AD7">
    <cfRule type="cellIs" dxfId="2" priority="1" operator="equal">
      <formula>FALSE</formula>
    </cfRule>
  </conditionalFormatting>
  <dataValidations count="2">
    <dataValidation type="list" allowBlank="1" showInputMessage="1" showErrorMessage="1" sqref="G3:G4" xr:uid="{00000000-0002-0000-0300-000000000000}">
      <formula1>"B,P,R"</formula1>
    </dataValidation>
    <dataValidation type="list" allowBlank="1" showInputMessage="1" showErrorMessage="1" sqref="C3:C4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76" fitToHeight="0" orientation="landscape" r:id="rId1"/>
  <headerFooter>
    <oddHeader>&amp;LWojewództwo &amp;KFF0000OPOLSKIE&amp;K01+000 -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Z22"/>
  <sheetViews>
    <sheetView showGridLines="0" zoomScale="78" zoomScaleNormal="78" zoomScaleSheetLayoutView="85" workbookViewId="0">
      <selection activeCell="O2" sqref="A2:XFD2"/>
    </sheetView>
  </sheetViews>
  <sheetFormatPr defaultColWidth="9.28515625" defaultRowHeight="15" x14ac:dyDescent="0.25"/>
  <cols>
    <col min="1" max="1" width="6" style="1" customWidth="1"/>
    <col min="2" max="2" width="16.42578125" style="13" customWidth="1"/>
    <col min="3" max="3" width="11.5703125" style="13" customWidth="1"/>
    <col min="4" max="4" width="14.5703125" style="13" customWidth="1"/>
    <col min="5" max="5" width="8.7109375" style="13" customWidth="1"/>
    <col min="6" max="6" width="13.7109375" style="13" customWidth="1"/>
    <col min="7" max="7" width="47.28515625" style="13" customWidth="1"/>
    <col min="8" max="8" width="7.28515625" style="13" customWidth="1"/>
    <col min="9" max="9" width="8" style="13" customWidth="1"/>
    <col min="10" max="10" width="13.7109375" style="13" customWidth="1"/>
    <col min="11" max="11" width="14.28515625" style="37" customWidth="1"/>
    <col min="12" max="12" width="15.7109375" style="13" customWidth="1"/>
    <col min="13" max="13" width="13.7109375" style="13" customWidth="1"/>
    <col min="14" max="14" width="15.7109375" style="1" customWidth="1"/>
    <col min="15" max="20" width="6.7109375" style="13" customWidth="1"/>
    <col min="21" max="21" width="13.7109375" style="13" customWidth="1"/>
    <col min="22" max="22" width="12" style="13" customWidth="1"/>
    <col min="23" max="26" width="6.7109375" style="13" customWidth="1"/>
    <col min="53" max="16384" width="9.28515625" style="13"/>
  </cols>
  <sheetData>
    <row r="1" spans="1:52" ht="20.100000000000001" customHeight="1" x14ac:dyDescent="0.25">
      <c r="A1" s="344" t="s">
        <v>4</v>
      </c>
      <c r="B1" s="314" t="s">
        <v>5</v>
      </c>
      <c r="C1" s="322" t="s">
        <v>45</v>
      </c>
      <c r="D1" s="318" t="s">
        <v>6</v>
      </c>
      <c r="E1" s="318" t="s">
        <v>32</v>
      </c>
      <c r="F1" s="318" t="s">
        <v>15</v>
      </c>
      <c r="G1" s="314" t="s">
        <v>7</v>
      </c>
      <c r="H1" s="314" t="s">
        <v>26</v>
      </c>
      <c r="I1" s="314" t="s">
        <v>8</v>
      </c>
      <c r="J1" s="314" t="s">
        <v>27</v>
      </c>
      <c r="K1" s="315" t="s">
        <v>9</v>
      </c>
      <c r="L1" s="314" t="s">
        <v>10</v>
      </c>
      <c r="M1" s="318" t="s">
        <v>13</v>
      </c>
      <c r="N1" s="314" t="s">
        <v>11</v>
      </c>
      <c r="O1" s="323" t="s">
        <v>12</v>
      </c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</row>
    <row r="2" spans="1:52" ht="20.100000000000001" customHeight="1" x14ac:dyDescent="0.25">
      <c r="A2" s="345"/>
      <c r="B2" s="314"/>
      <c r="C2" s="323"/>
      <c r="D2" s="319"/>
      <c r="E2" s="319"/>
      <c r="F2" s="319"/>
      <c r="G2" s="314"/>
      <c r="H2" s="314"/>
      <c r="I2" s="314"/>
      <c r="J2" s="314"/>
      <c r="K2" s="315"/>
      <c r="L2" s="314"/>
      <c r="M2" s="319"/>
      <c r="N2" s="314"/>
      <c r="O2" s="36">
        <v>2019</v>
      </c>
      <c r="P2" s="36">
        <v>2020</v>
      </c>
      <c r="Q2" s="36">
        <v>2021</v>
      </c>
      <c r="R2" s="36">
        <v>2022</v>
      </c>
      <c r="S2" s="36">
        <v>2023</v>
      </c>
      <c r="T2" s="36">
        <v>2024</v>
      </c>
      <c r="U2" s="36">
        <v>2025</v>
      </c>
      <c r="V2" s="36">
        <v>2026</v>
      </c>
      <c r="W2" s="36">
        <v>2027</v>
      </c>
      <c r="X2" s="36">
        <v>2028</v>
      </c>
      <c r="Y2" s="170">
        <v>2029</v>
      </c>
      <c r="Z2" s="170">
        <v>2030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52" s="250" customFormat="1" ht="37.5" customHeight="1" x14ac:dyDescent="0.25">
      <c r="A3" s="257">
        <v>1</v>
      </c>
      <c r="B3" s="183" t="s">
        <v>220</v>
      </c>
      <c r="C3" s="192"/>
      <c r="D3" s="194" t="s">
        <v>121</v>
      </c>
      <c r="E3" s="258">
        <v>1609052</v>
      </c>
      <c r="F3" s="184" t="s">
        <v>58</v>
      </c>
      <c r="G3" s="184" t="s">
        <v>188</v>
      </c>
      <c r="H3" s="184" t="s">
        <v>60</v>
      </c>
      <c r="I3" s="185"/>
      <c r="J3" s="186" t="s">
        <v>189</v>
      </c>
      <c r="K3" s="212"/>
      <c r="L3" s="213"/>
      <c r="M3" s="211"/>
      <c r="N3" s="255">
        <v>1</v>
      </c>
      <c r="O3" s="213"/>
      <c r="P3" s="213"/>
      <c r="Q3" s="259"/>
      <c r="R3" s="259"/>
      <c r="S3" s="259"/>
      <c r="T3" s="259"/>
      <c r="U3" s="211"/>
      <c r="V3" s="211"/>
      <c r="W3" s="259"/>
      <c r="X3" s="259"/>
      <c r="Y3" s="259"/>
      <c r="Z3" s="259"/>
      <c r="AA3" s="1" t="b">
        <f>L3=SUM(O3:Z3)</f>
        <v>1</v>
      </c>
      <c r="AB3" s="42" t="e">
        <f t="shared" ref="AB3" si="0">ROUND(L3/K3,4)</f>
        <v>#DIV/0!</v>
      </c>
      <c r="AC3" s="43" t="e">
        <f t="shared" ref="AC3" si="1">AB3=N3</f>
        <v>#DIV/0!</v>
      </c>
      <c r="AD3" s="43" t="b">
        <f t="shared" ref="AD3" si="2">K3=L3+M3</f>
        <v>1</v>
      </c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2" s="251" customFormat="1" ht="37.5" customHeight="1" x14ac:dyDescent="0.25">
      <c r="A4" s="198">
        <v>2</v>
      </c>
      <c r="B4" s="50" t="s">
        <v>221</v>
      </c>
      <c r="C4" s="193"/>
      <c r="D4" s="195" t="s">
        <v>176</v>
      </c>
      <c r="E4" s="51">
        <v>1609083</v>
      </c>
      <c r="F4" s="178" t="s">
        <v>58</v>
      </c>
      <c r="G4" s="178" t="s">
        <v>190</v>
      </c>
      <c r="H4" s="178" t="s">
        <v>69</v>
      </c>
      <c r="I4" s="179"/>
      <c r="J4" s="180" t="s">
        <v>71</v>
      </c>
      <c r="K4" s="243"/>
      <c r="L4" s="219"/>
      <c r="M4" s="244"/>
      <c r="N4" s="196">
        <v>1</v>
      </c>
      <c r="O4" s="219"/>
      <c r="P4" s="219"/>
      <c r="Q4" s="245"/>
      <c r="R4" s="245"/>
      <c r="S4" s="245"/>
      <c r="T4" s="245"/>
      <c r="U4" s="244"/>
      <c r="V4" s="245"/>
      <c r="W4" s="245"/>
      <c r="X4" s="245"/>
      <c r="Y4" s="245"/>
      <c r="Z4" s="245"/>
      <c r="AA4" s="1" t="b">
        <f t="shared" ref="AA4:AA14" si="3">L4=SUM(O4:Z4)</f>
        <v>1</v>
      </c>
      <c r="AB4" s="42" t="e">
        <f t="shared" ref="AB4:AB14" si="4">ROUND(L4/K4,4)</f>
        <v>#DIV/0!</v>
      </c>
      <c r="AC4" s="43" t="e">
        <f t="shared" ref="AC4:AC14" si="5">AB4=N4</f>
        <v>#DIV/0!</v>
      </c>
      <c r="AD4" s="43" t="b">
        <f t="shared" ref="AD4:AD14" si="6">K4=L4+M4</f>
        <v>1</v>
      </c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2" s="251" customFormat="1" ht="36" customHeight="1" x14ac:dyDescent="0.25">
      <c r="A5" s="198">
        <v>3</v>
      </c>
      <c r="B5" s="50" t="s">
        <v>222</v>
      </c>
      <c r="C5" s="193"/>
      <c r="D5" s="195" t="s">
        <v>191</v>
      </c>
      <c r="E5" s="51">
        <v>1609092</v>
      </c>
      <c r="F5" s="178" t="s">
        <v>58</v>
      </c>
      <c r="G5" s="178" t="s">
        <v>192</v>
      </c>
      <c r="H5" s="178" t="s">
        <v>65</v>
      </c>
      <c r="I5" s="179"/>
      <c r="J5" s="180" t="s">
        <v>193</v>
      </c>
      <c r="K5" s="243"/>
      <c r="L5" s="219"/>
      <c r="M5" s="244"/>
      <c r="N5" s="196">
        <v>1</v>
      </c>
      <c r="O5" s="219"/>
      <c r="P5" s="219"/>
      <c r="Q5" s="245"/>
      <c r="R5" s="245"/>
      <c r="S5" s="245"/>
      <c r="T5" s="245"/>
      <c r="U5" s="244"/>
      <c r="V5" s="245"/>
      <c r="W5" s="245"/>
      <c r="X5" s="245"/>
      <c r="Y5" s="245"/>
      <c r="Z5" s="245"/>
      <c r="AA5" s="1" t="b">
        <f t="shared" si="3"/>
        <v>1</v>
      </c>
      <c r="AB5" s="42" t="e">
        <f t="shared" si="4"/>
        <v>#DIV/0!</v>
      </c>
      <c r="AC5" s="43" t="e">
        <f t="shared" si="5"/>
        <v>#DIV/0!</v>
      </c>
      <c r="AD5" s="43" t="b">
        <f t="shared" si="6"/>
        <v>1</v>
      </c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s="251" customFormat="1" ht="40.5" customHeight="1" x14ac:dyDescent="0.25">
      <c r="A6" s="198">
        <v>4</v>
      </c>
      <c r="B6" s="50" t="s">
        <v>229</v>
      </c>
      <c r="C6" s="193"/>
      <c r="D6" s="195" t="s">
        <v>194</v>
      </c>
      <c r="E6" s="51">
        <v>1609022</v>
      </c>
      <c r="F6" s="178" t="s">
        <v>58</v>
      </c>
      <c r="G6" s="178" t="s">
        <v>195</v>
      </c>
      <c r="H6" s="178" t="s">
        <v>65</v>
      </c>
      <c r="I6" s="179"/>
      <c r="J6" s="180" t="s">
        <v>216</v>
      </c>
      <c r="K6" s="243"/>
      <c r="L6" s="219"/>
      <c r="M6" s="244"/>
      <c r="N6" s="196">
        <v>1</v>
      </c>
      <c r="O6" s="219"/>
      <c r="P6" s="219"/>
      <c r="Q6" s="245"/>
      <c r="R6" s="245"/>
      <c r="S6" s="245"/>
      <c r="T6" s="245"/>
      <c r="U6" s="244"/>
      <c r="V6" s="245"/>
      <c r="W6" s="245"/>
      <c r="X6" s="245"/>
      <c r="Y6" s="245"/>
      <c r="Z6" s="245"/>
      <c r="AA6" s="1" t="b">
        <f t="shared" si="3"/>
        <v>1</v>
      </c>
      <c r="AB6" s="42" t="e">
        <f t="shared" si="4"/>
        <v>#DIV/0!</v>
      </c>
      <c r="AC6" s="43" t="e">
        <f t="shared" si="5"/>
        <v>#DIV/0!</v>
      </c>
      <c r="AD6" s="43" t="b">
        <f t="shared" si="6"/>
        <v>1</v>
      </c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251" customFormat="1" ht="40.5" customHeight="1" x14ac:dyDescent="0.25">
      <c r="A7" s="198">
        <v>5</v>
      </c>
      <c r="B7" s="50" t="s">
        <v>227</v>
      </c>
      <c r="C7" s="193"/>
      <c r="D7" s="195" t="s">
        <v>117</v>
      </c>
      <c r="E7" s="51">
        <v>1603062</v>
      </c>
      <c r="F7" s="178" t="s">
        <v>77</v>
      </c>
      <c r="G7" s="178" t="s">
        <v>196</v>
      </c>
      <c r="H7" s="178" t="s">
        <v>60</v>
      </c>
      <c r="I7" s="179"/>
      <c r="J7" s="180" t="s">
        <v>216</v>
      </c>
      <c r="K7" s="243"/>
      <c r="L7" s="219"/>
      <c r="M7" s="244"/>
      <c r="N7" s="196">
        <v>1</v>
      </c>
      <c r="O7" s="219"/>
      <c r="P7" s="219"/>
      <c r="Q7" s="245"/>
      <c r="R7" s="245"/>
      <c r="S7" s="245"/>
      <c r="T7" s="245"/>
      <c r="U7" s="244"/>
      <c r="V7" s="245"/>
      <c r="W7" s="245"/>
      <c r="X7" s="245"/>
      <c r="Y7" s="245"/>
      <c r="Z7" s="245"/>
      <c r="AA7" s="1" t="b">
        <f t="shared" si="3"/>
        <v>1</v>
      </c>
      <c r="AB7" s="42" t="e">
        <f t="shared" si="4"/>
        <v>#DIV/0!</v>
      </c>
      <c r="AC7" s="43" t="e">
        <f t="shared" si="5"/>
        <v>#DIV/0!</v>
      </c>
      <c r="AD7" s="43" t="b">
        <f t="shared" si="6"/>
        <v>1</v>
      </c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s="251" customFormat="1" ht="39.75" customHeight="1" x14ac:dyDescent="0.25">
      <c r="A8" s="198">
        <v>6</v>
      </c>
      <c r="B8" s="50" t="s">
        <v>228</v>
      </c>
      <c r="C8" s="193"/>
      <c r="D8" s="195" t="s">
        <v>197</v>
      </c>
      <c r="E8" s="51">
        <v>1610013</v>
      </c>
      <c r="F8" s="178" t="s">
        <v>61</v>
      </c>
      <c r="G8" s="178" t="s">
        <v>198</v>
      </c>
      <c r="H8" s="178" t="s">
        <v>69</v>
      </c>
      <c r="I8" s="179"/>
      <c r="J8" s="180" t="s">
        <v>216</v>
      </c>
      <c r="K8" s="243"/>
      <c r="L8" s="219"/>
      <c r="M8" s="244"/>
      <c r="N8" s="196">
        <v>1</v>
      </c>
      <c r="O8" s="219"/>
      <c r="P8" s="219"/>
      <c r="Q8" s="245"/>
      <c r="R8" s="245"/>
      <c r="S8" s="245"/>
      <c r="T8" s="245"/>
      <c r="U8" s="244"/>
      <c r="V8" s="245"/>
      <c r="W8" s="245"/>
      <c r="X8" s="245"/>
      <c r="Y8" s="245"/>
      <c r="Z8" s="245"/>
      <c r="AA8" s="1" t="b">
        <f t="shared" si="3"/>
        <v>1</v>
      </c>
      <c r="AB8" s="42" t="e">
        <f t="shared" si="4"/>
        <v>#DIV/0!</v>
      </c>
      <c r="AC8" s="43" t="e">
        <f t="shared" si="5"/>
        <v>#DIV/0!</v>
      </c>
      <c r="AD8" s="43" t="b">
        <f t="shared" si="6"/>
        <v>1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</row>
    <row r="9" spans="1:52" s="251" customFormat="1" ht="30" customHeight="1" x14ac:dyDescent="0.25">
      <c r="A9" s="198">
        <v>7</v>
      </c>
      <c r="B9" s="50" t="s">
        <v>162</v>
      </c>
      <c r="C9" s="193"/>
      <c r="D9" s="195" t="s">
        <v>170</v>
      </c>
      <c r="E9" s="51">
        <v>1609032</v>
      </c>
      <c r="F9" s="178" t="s">
        <v>58</v>
      </c>
      <c r="G9" s="178" t="s">
        <v>199</v>
      </c>
      <c r="H9" s="178" t="s">
        <v>69</v>
      </c>
      <c r="I9" s="179"/>
      <c r="J9" s="180" t="s">
        <v>216</v>
      </c>
      <c r="K9" s="243"/>
      <c r="L9" s="219"/>
      <c r="M9" s="244"/>
      <c r="N9" s="196">
        <v>1</v>
      </c>
      <c r="O9" s="219"/>
      <c r="P9" s="219"/>
      <c r="Q9" s="245"/>
      <c r="R9" s="245"/>
      <c r="S9" s="245"/>
      <c r="T9" s="245"/>
      <c r="U9" s="244"/>
      <c r="V9" s="245"/>
      <c r="W9" s="245"/>
      <c r="X9" s="245"/>
      <c r="Y9" s="245"/>
      <c r="Z9" s="245"/>
      <c r="AA9" s="1" t="b">
        <f t="shared" si="3"/>
        <v>1</v>
      </c>
      <c r="AB9" s="42" t="e">
        <f t="shared" si="4"/>
        <v>#DIV/0!</v>
      </c>
      <c r="AC9" s="43" t="e">
        <f t="shared" si="5"/>
        <v>#DIV/0!</v>
      </c>
      <c r="AD9" s="43" t="b">
        <f t="shared" si="6"/>
        <v>1</v>
      </c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</row>
    <row r="10" spans="1:52" s="37" customFormat="1" ht="30" customHeight="1" x14ac:dyDescent="0.25">
      <c r="A10" s="198">
        <v>8</v>
      </c>
      <c r="B10" s="50" t="s">
        <v>163</v>
      </c>
      <c r="C10" s="193"/>
      <c r="D10" s="195" t="s">
        <v>108</v>
      </c>
      <c r="E10" s="51">
        <v>1601011</v>
      </c>
      <c r="F10" s="178" t="s">
        <v>63</v>
      </c>
      <c r="G10" s="178" t="s">
        <v>200</v>
      </c>
      <c r="H10" s="178" t="s">
        <v>60</v>
      </c>
      <c r="I10" s="179"/>
      <c r="J10" s="180" t="s">
        <v>216</v>
      </c>
      <c r="K10" s="243"/>
      <c r="L10" s="219"/>
      <c r="M10" s="244"/>
      <c r="N10" s="196">
        <v>1</v>
      </c>
      <c r="O10" s="219"/>
      <c r="P10" s="219"/>
      <c r="Q10" s="245"/>
      <c r="R10" s="245"/>
      <c r="S10" s="245"/>
      <c r="T10" s="245"/>
      <c r="U10" s="244"/>
      <c r="V10" s="245"/>
      <c r="W10" s="245"/>
      <c r="X10" s="245"/>
      <c r="Y10" s="245"/>
      <c r="Z10" s="245"/>
      <c r="AA10" s="261" t="b">
        <f t="shared" si="3"/>
        <v>1</v>
      </c>
      <c r="AB10" s="262" t="e">
        <f t="shared" si="4"/>
        <v>#DIV/0!</v>
      </c>
      <c r="AC10" s="263" t="e">
        <f t="shared" si="5"/>
        <v>#DIV/0!</v>
      </c>
      <c r="AD10" s="263" t="b">
        <f t="shared" si="6"/>
        <v>1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s="251" customFormat="1" ht="30" customHeight="1" x14ac:dyDescent="0.25">
      <c r="A11" s="198">
        <v>9</v>
      </c>
      <c r="B11" s="50" t="s">
        <v>164</v>
      </c>
      <c r="C11" s="193"/>
      <c r="D11" s="195" t="s">
        <v>170</v>
      </c>
      <c r="E11" s="51">
        <v>1609032</v>
      </c>
      <c r="F11" s="178" t="s">
        <v>58</v>
      </c>
      <c r="G11" s="178" t="s">
        <v>201</v>
      </c>
      <c r="H11" s="178" t="s">
        <v>69</v>
      </c>
      <c r="I11" s="179"/>
      <c r="J11" s="180" t="s">
        <v>216</v>
      </c>
      <c r="K11" s="243"/>
      <c r="L11" s="219"/>
      <c r="M11" s="244"/>
      <c r="N11" s="196">
        <v>1</v>
      </c>
      <c r="O11" s="219"/>
      <c r="P11" s="219"/>
      <c r="Q11" s="245"/>
      <c r="R11" s="245"/>
      <c r="S11" s="245"/>
      <c r="T11" s="245"/>
      <c r="U11" s="244"/>
      <c r="V11" s="245"/>
      <c r="W11" s="245"/>
      <c r="X11" s="245"/>
      <c r="Y11" s="245"/>
      <c r="Z11" s="245"/>
      <c r="AA11" s="1" t="b">
        <f t="shared" si="3"/>
        <v>1</v>
      </c>
      <c r="AB11" s="42" t="e">
        <f t="shared" si="4"/>
        <v>#DIV/0!</v>
      </c>
      <c r="AC11" s="43" t="e">
        <f t="shared" si="5"/>
        <v>#DIV/0!</v>
      </c>
      <c r="AD11" s="43" t="b">
        <f t="shared" si="6"/>
        <v>1</v>
      </c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s="251" customFormat="1" ht="30" customHeight="1" x14ac:dyDescent="0.25">
      <c r="A12" s="198">
        <v>10</v>
      </c>
      <c r="B12" s="50" t="s">
        <v>167</v>
      </c>
      <c r="C12" s="193"/>
      <c r="D12" s="195" t="s">
        <v>206</v>
      </c>
      <c r="E12" s="51" t="s">
        <v>213</v>
      </c>
      <c r="F12" s="178" t="s">
        <v>98</v>
      </c>
      <c r="G12" s="178" t="s">
        <v>207</v>
      </c>
      <c r="H12" s="178" t="s">
        <v>69</v>
      </c>
      <c r="I12" s="179"/>
      <c r="J12" s="180" t="s">
        <v>216</v>
      </c>
      <c r="K12" s="243"/>
      <c r="L12" s="219"/>
      <c r="M12" s="244"/>
      <c r="N12" s="196">
        <v>1</v>
      </c>
      <c r="O12" s="219"/>
      <c r="P12" s="219"/>
      <c r="Q12" s="245"/>
      <c r="R12" s="245"/>
      <c r="S12" s="245"/>
      <c r="T12" s="245"/>
      <c r="U12" s="244"/>
      <c r="V12" s="245"/>
      <c r="W12" s="245"/>
      <c r="X12" s="245"/>
      <c r="Y12" s="245"/>
      <c r="Z12" s="245"/>
      <c r="AA12" s="1" t="b">
        <f>L12=SUM(O12:Z12)</f>
        <v>1</v>
      </c>
      <c r="AB12" s="42" t="e">
        <f>ROUND(L12/K12,4)</f>
        <v>#DIV/0!</v>
      </c>
      <c r="AC12" s="43" t="e">
        <f>AB12=N12</f>
        <v>#DIV/0!</v>
      </c>
      <c r="AD12" s="43" t="b">
        <f>K12=L12+M12</f>
        <v>1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30" customHeight="1" x14ac:dyDescent="0.25">
      <c r="A13" s="198">
        <v>11</v>
      </c>
      <c r="B13" s="50" t="s">
        <v>165</v>
      </c>
      <c r="C13" s="193"/>
      <c r="D13" s="195" t="s">
        <v>202</v>
      </c>
      <c r="E13" s="51">
        <v>1611043</v>
      </c>
      <c r="F13" s="178" t="s">
        <v>66</v>
      </c>
      <c r="G13" s="178" t="s">
        <v>203</v>
      </c>
      <c r="H13" s="178" t="s">
        <v>69</v>
      </c>
      <c r="I13" s="179"/>
      <c r="J13" s="180" t="s">
        <v>216</v>
      </c>
      <c r="K13" s="243"/>
      <c r="L13" s="219"/>
      <c r="M13" s="244"/>
      <c r="N13" s="196">
        <v>0.6</v>
      </c>
      <c r="O13" s="219"/>
      <c r="P13" s="219"/>
      <c r="Q13" s="245"/>
      <c r="R13" s="245"/>
      <c r="S13" s="245"/>
      <c r="T13" s="245"/>
      <c r="U13" s="244"/>
      <c r="V13" s="245"/>
      <c r="W13" s="245"/>
      <c r="X13" s="245"/>
      <c r="Y13" s="245"/>
      <c r="Z13" s="245"/>
      <c r="AA13" s="1" t="b">
        <f t="shared" si="3"/>
        <v>1</v>
      </c>
      <c r="AB13" s="42" t="e">
        <f t="shared" si="4"/>
        <v>#DIV/0!</v>
      </c>
      <c r="AC13" s="43" t="e">
        <f t="shared" si="5"/>
        <v>#DIV/0!</v>
      </c>
      <c r="AD13" s="43" t="b">
        <f t="shared" si="6"/>
        <v>1</v>
      </c>
    </row>
    <row r="14" spans="1:52" ht="30" customHeight="1" x14ac:dyDescent="0.25">
      <c r="A14" s="198">
        <v>12</v>
      </c>
      <c r="B14" s="50" t="s">
        <v>166</v>
      </c>
      <c r="C14" s="193"/>
      <c r="D14" s="195" t="s">
        <v>202</v>
      </c>
      <c r="E14" s="51">
        <v>1611043</v>
      </c>
      <c r="F14" s="178" t="s">
        <v>66</v>
      </c>
      <c r="G14" s="178" t="s">
        <v>205</v>
      </c>
      <c r="H14" s="178" t="s">
        <v>69</v>
      </c>
      <c r="I14" s="179"/>
      <c r="J14" s="180" t="s">
        <v>216</v>
      </c>
      <c r="K14" s="243"/>
      <c r="L14" s="219"/>
      <c r="M14" s="244"/>
      <c r="N14" s="196">
        <v>0.6</v>
      </c>
      <c r="O14" s="219"/>
      <c r="P14" s="219"/>
      <c r="Q14" s="245"/>
      <c r="R14" s="245"/>
      <c r="S14" s="245"/>
      <c r="T14" s="245"/>
      <c r="U14" s="244"/>
      <c r="V14" s="245"/>
      <c r="W14" s="245"/>
      <c r="X14" s="245"/>
      <c r="Y14" s="245"/>
      <c r="Z14" s="245"/>
      <c r="AA14" s="1" t="b">
        <f t="shared" si="3"/>
        <v>1</v>
      </c>
      <c r="AB14" s="42" t="e">
        <f t="shared" si="4"/>
        <v>#DIV/0!</v>
      </c>
      <c r="AC14" s="43" t="e">
        <f t="shared" si="5"/>
        <v>#DIV/0!</v>
      </c>
      <c r="AD14" s="43" t="b">
        <f t="shared" si="6"/>
        <v>1</v>
      </c>
    </row>
    <row r="15" spans="1:52" ht="20.100000000000001" customHeight="1" x14ac:dyDescent="0.25">
      <c r="A15" s="340" t="s">
        <v>44</v>
      </c>
      <c r="B15" s="340"/>
      <c r="C15" s="340"/>
      <c r="D15" s="340"/>
      <c r="E15" s="340"/>
      <c r="F15" s="340"/>
      <c r="G15" s="340"/>
      <c r="H15" s="340"/>
      <c r="I15" s="56">
        <f>SUM(I3:I14)</f>
        <v>0</v>
      </c>
      <c r="J15" s="57" t="s">
        <v>14</v>
      </c>
      <c r="K15" s="58">
        <f>SUM(K3:K14)</f>
        <v>0</v>
      </c>
      <c r="L15" s="59">
        <f>SUM(L3:L14)</f>
        <v>0</v>
      </c>
      <c r="M15" s="59">
        <f>SUM(M3:M14)</f>
        <v>0</v>
      </c>
      <c r="N15" s="60" t="s">
        <v>14</v>
      </c>
      <c r="O15" s="68">
        <f t="shared" ref="O15:Z15" si="7">SUM(O3:O14)</f>
        <v>0</v>
      </c>
      <c r="P15" s="68">
        <f t="shared" si="7"/>
        <v>0</v>
      </c>
      <c r="Q15" s="68">
        <f t="shared" si="7"/>
        <v>0</v>
      </c>
      <c r="R15" s="68">
        <f t="shared" si="7"/>
        <v>0</v>
      </c>
      <c r="S15" s="68">
        <f t="shared" si="7"/>
        <v>0</v>
      </c>
      <c r="T15" s="68">
        <f t="shared" si="7"/>
        <v>0</v>
      </c>
      <c r="U15" s="68">
        <f t="shared" si="7"/>
        <v>0</v>
      </c>
      <c r="V15" s="68">
        <f t="shared" si="7"/>
        <v>0</v>
      </c>
      <c r="W15" s="68">
        <f t="shared" si="7"/>
        <v>0</v>
      </c>
      <c r="X15" s="68">
        <f t="shared" si="7"/>
        <v>0</v>
      </c>
      <c r="Y15" s="68">
        <f t="shared" si="7"/>
        <v>0</v>
      </c>
      <c r="Z15" s="68">
        <f t="shared" si="7"/>
        <v>0</v>
      </c>
    </row>
    <row r="16" spans="1:52" ht="20.100000000000001" customHeight="1" x14ac:dyDescent="0.25">
      <c r="A16" s="341" t="s">
        <v>38</v>
      </c>
      <c r="B16" s="342"/>
      <c r="C16" s="342"/>
      <c r="D16" s="342"/>
      <c r="E16" s="342"/>
      <c r="F16" s="342"/>
      <c r="G16" s="342"/>
      <c r="H16" s="343"/>
      <c r="I16" s="56">
        <f>SUMIF($C$3:$C$14,"N",I3:I14)</f>
        <v>0</v>
      </c>
      <c r="J16" s="57" t="s">
        <v>14</v>
      </c>
      <c r="K16" s="58">
        <f>SUMIF($C$3:$C$14,"N",K3:K14)</f>
        <v>0</v>
      </c>
      <c r="L16" s="59">
        <f>SUMIF($C$3:$C$14,"N",L3:L14)</f>
        <v>0</v>
      </c>
      <c r="M16" s="59">
        <f>SUMIF($C$3:$C$14,"N",M3:M14)</f>
        <v>0</v>
      </c>
      <c r="N16" s="60" t="s">
        <v>14</v>
      </c>
      <c r="O16" s="68">
        <f t="shared" ref="O16:Z16" si="8">SUMIF($C$3:$C$14,"N",O3:O14)</f>
        <v>0</v>
      </c>
      <c r="P16" s="68">
        <f t="shared" si="8"/>
        <v>0</v>
      </c>
      <c r="Q16" s="68">
        <f t="shared" si="8"/>
        <v>0</v>
      </c>
      <c r="R16" s="68">
        <f t="shared" si="8"/>
        <v>0</v>
      </c>
      <c r="S16" s="68">
        <f t="shared" si="8"/>
        <v>0</v>
      </c>
      <c r="T16" s="68">
        <f t="shared" si="8"/>
        <v>0</v>
      </c>
      <c r="U16" s="68">
        <f t="shared" si="8"/>
        <v>0</v>
      </c>
      <c r="V16" s="68">
        <f t="shared" si="8"/>
        <v>0</v>
      </c>
      <c r="W16" s="68">
        <f t="shared" si="8"/>
        <v>0</v>
      </c>
      <c r="X16" s="68">
        <f t="shared" si="8"/>
        <v>0</v>
      </c>
      <c r="Y16" s="68">
        <f t="shared" si="8"/>
        <v>0</v>
      </c>
      <c r="Z16" s="68">
        <f t="shared" si="8"/>
        <v>0</v>
      </c>
    </row>
    <row r="17" spans="1:26" ht="20.100000000000001" customHeight="1" x14ac:dyDescent="0.25">
      <c r="A17" s="339" t="s">
        <v>39</v>
      </c>
      <c r="B17" s="339"/>
      <c r="C17" s="339"/>
      <c r="D17" s="339"/>
      <c r="E17" s="339"/>
      <c r="F17" s="339"/>
      <c r="G17" s="339"/>
      <c r="H17" s="339"/>
      <c r="I17" s="62">
        <f>SUMIF($C$3:$C$14,"W",I3:I14)</f>
        <v>0</v>
      </c>
      <c r="J17" s="63" t="s">
        <v>14</v>
      </c>
      <c r="K17" s="64">
        <f>SUMIF($C$3:$C$14,"W",K3:K14)</f>
        <v>0</v>
      </c>
      <c r="L17" s="65">
        <f>SUMIF($C$3:$C$14,"W",L3:L14)</f>
        <v>0</v>
      </c>
      <c r="M17" s="65">
        <f>SUMIF($C$3:$C$14,"W",M3:M14)</f>
        <v>0</v>
      </c>
      <c r="N17" s="66" t="s">
        <v>14</v>
      </c>
      <c r="O17" s="69">
        <f t="shared" ref="O17:Z17" si="9">SUMIF($C$3:$C$14,"W",O3:O14)</f>
        <v>0</v>
      </c>
      <c r="P17" s="69">
        <f t="shared" si="9"/>
        <v>0</v>
      </c>
      <c r="Q17" s="69">
        <f t="shared" si="9"/>
        <v>0</v>
      </c>
      <c r="R17" s="69">
        <f t="shared" si="9"/>
        <v>0</v>
      </c>
      <c r="S17" s="69">
        <f t="shared" si="9"/>
        <v>0</v>
      </c>
      <c r="T17" s="69">
        <f t="shared" si="9"/>
        <v>0</v>
      </c>
      <c r="U17" s="69">
        <f t="shared" si="9"/>
        <v>0</v>
      </c>
      <c r="V17" s="69">
        <f t="shared" si="9"/>
        <v>0</v>
      </c>
      <c r="W17" s="69">
        <f t="shared" si="9"/>
        <v>0</v>
      </c>
      <c r="X17" s="69">
        <f t="shared" si="9"/>
        <v>0</v>
      </c>
      <c r="Y17" s="69">
        <f t="shared" si="9"/>
        <v>0</v>
      </c>
      <c r="Z17" s="69">
        <f t="shared" si="9"/>
        <v>0</v>
      </c>
    </row>
    <row r="18" spans="1:26" x14ac:dyDescent="0.25">
      <c r="A18" s="199"/>
    </row>
    <row r="19" spans="1:26" x14ac:dyDescent="0.25">
      <c r="A19" s="200" t="s">
        <v>24</v>
      </c>
    </row>
    <row r="20" spans="1:26" x14ac:dyDescent="0.25">
      <c r="A20" s="201" t="s">
        <v>25</v>
      </c>
    </row>
    <row r="21" spans="1:26" x14ac:dyDescent="0.25">
      <c r="A21" s="200" t="s">
        <v>35</v>
      </c>
    </row>
    <row r="22" spans="1:26" x14ac:dyDescent="0.25">
      <c r="A22" s="202"/>
    </row>
  </sheetData>
  <mergeCells count="18">
    <mergeCell ref="G1:G2"/>
    <mergeCell ref="H1:H2"/>
    <mergeCell ref="A16:H16"/>
    <mergeCell ref="D1:D2"/>
    <mergeCell ref="A17:H17"/>
    <mergeCell ref="E1:E2"/>
    <mergeCell ref="O1:Z1"/>
    <mergeCell ref="M1:M2"/>
    <mergeCell ref="N1:N2"/>
    <mergeCell ref="A15:H15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A3:AC14">
    <cfRule type="containsText" dxfId="1" priority="2" operator="containsText" text="fałsz">
      <formula>NOT(ISERROR(SEARCH("fałsz",AA3)))</formula>
    </cfRule>
  </conditionalFormatting>
  <conditionalFormatting sqref="AA3:AD14">
    <cfRule type="cellIs" dxfId="0" priority="1" operator="equal">
      <formula>FALSE</formula>
    </cfRule>
  </conditionalFormatting>
  <dataValidations count="2">
    <dataValidation type="list" allowBlank="1" showInputMessage="1" showErrorMessage="1" sqref="H3:H14" xr:uid="{00000000-0002-0000-0400-000000000000}">
      <formula1>"B,P,R"</formula1>
    </dataValidation>
    <dataValidation type="list" allowBlank="1" showInputMessage="1" showErrorMessage="1" sqref="C3:C14" xr:uid="{00000000-0002-0000-0400-000001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60" scale="53" fitToHeight="0" orientation="landscape" r:id="rId1"/>
  <headerFooter>
    <oddHeader>&amp;LWojewództwo &amp;KFF0000OPOLSKIE&amp;K01+000 -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Kinga Kucharska</cp:lastModifiedBy>
  <cp:lastPrinted>2025-05-28T05:54:51Z</cp:lastPrinted>
  <dcterms:created xsi:type="dcterms:W3CDTF">2019-02-25T10:53:14Z</dcterms:created>
  <dcterms:modified xsi:type="dcterms:W3CDTF">2025-10-30T06:32:16Z</dcterms:modified>
</cp:coreProperties>
</file>