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3\II kwartał\Dane ostateczne 2023.08.14\Zbiorówki_2023_k2_20230814\"/>
    </mc:Choice>
  </mc:AlternateContent>
  <bookViews>
    <workbookView xWindow="240" yWindow="120" windowWidth="14220" windowHeight="8835"/>
  </bookViews>
  <sheets>
    <sheet name="zob_nal" sheetId="7" r:id="rId1"/>
    <sheet name="definicja" sheetId="6" r:id="rId2"/>
  </sheets>
  <calcPr calcId="152511"/>
</workbook>
</file>

<file path=xl/calcChain.xml><?xml version="1.0" encoding="utf-8"?>
<calcChain xmlns="http://schemas.openxmlformats.org/spreadsheetml/2006/main">
  <c r="C106" i="6" l="1"/>
  <c r="C105" i="6"/>
  <c r="C104" i="6"/>
  <c r="B93" i="7"/>
  <c r="B92" i="7"/>
  <c r="B91" i="7"/>
  <c r="B90" i="7"/>
  <c r="I87" i="7"/>
  <c r="G87" i="7"/>
  <c r="I86" i="7"/>
  <c r="G86" i="7"/>
  <c r="I85" i="7"/>
  <c r="G85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0" i="7"/>
  <c r="A82" i="7" s="1"/>
  <c r="D104" i="6"/>
  <c r="A94" i="6" s="1"/>
  <c r="A65" i="6" l="1"/>
  <c r="A1" i="6"/>
  <c r="A32" i="6"/>
  <c r="A27" i="7"/>
  <c r="A63" i="7"/>
  <c r="A1" i="7"/>
</calcChain>
</file>

<file path=xl/sharedStrings.xml><?xml version="1.0" encoding="utf-8"?>
<sst xmlns="http://schemas.openxmlformats.org/spreadsheetml/2006/main" count="271" uniqueCount="157">
  <si>
    <t>Wyszczególnienie</t>
  </si>
  <si>
    <t>ZO</t>
  </si>
  <si>
    <t>ogółem</t>
  </si>
  <si>
    <t>sektora finansów publicznych (kol.5+7+8)</t>
  </si>
  <si>
    <t>banku centralnego</t>
  </si>
  <si>
    <t>Poręczenia i gwarancje</t>
  </si>
  <si>
    <t>sektora finansów publicznych (kol.4+6+7)</t>
  </si>
  <si>
    <t>Liczba jednostek</t>
  </si>
  <si>
    <t>Wykonanie</t>
  </si>
  <si>
    <t>KO</t>
  </si>
  <si>
    <t>KFP</t>
  </si>
  <si>
    <t>KG1</t>
  </si>
  <si>
    <t>KG2</t>
  </si>
  <si>
    <t>KG3</t>
  </si>
  <si>
    <t>KBC</t>
  </si>
  <si>
    <t>KBK</t>
  </si>
  <si>
    <t>FP</t>
  </si>
  <si>
    <t>G1</t>
  </si>
  <si>
    <t>G2</t>
  </si>
  <si>
    <t>G3</t>
  </si>
  <si>
    <t>O</t>
  </si>
  <si>
    <t>Z</t>
  </si>
  <si>
    <t>N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</si>
  <si>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</si>
  <si>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</si>
  <si>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</si>
  <si>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</si>
  <si>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</si>
  <si>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</si>
  <si>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[w]&gt;0</t>
  </si>
  <si>
    <t>[w]&lt;0</t>
  </si>
  <si>
    <t>[w]=0</t>
  </si>
  <si>
    <t>w</t>
  </si>
  <si>
    <t>kodGus</t>
  </si>
  <si>
    <t>Symbol=E</t>
  </si>
  <si>
    <t>Symbol=E1</t>
  </si>
  <si>
    <t>Symbol=E11</t>
  </si>
  <si>
    <t>Symbol=E2</t>
  </si>
  <si>
    <t>Symbol=E21</t>
  </si>
  <si>
    <t>Symbol=E3</t>
  </si>
  <si>
    <t>Symbol=E4</t>
  </si>
  <si>
    <t>Symbol=E41</t>
  </si>
  <si>
    <t>Symbol=N</t>
  </si>
  <si>
    <t>Symbol=N1</t>
  </si>
  <si>
    <t>Symbol=N11</t>
  </si>
  <si>
    <t>Symbol=N21</t>
  </si>
  <si>
    <t>Symbol=N3</t>
  </si>
  <si>
    <t>Symbol=N4</t>
  </si>
  <si>
    <t>Symbol=N41</t>
  </si>
  <si>
    <t>Symbol=F1</t>
  </si>
  <si>
    <t>Symbol=F2</t>
  </si>
  <si>
    <t>Symbol=F3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</si>
  <si>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</si>
  <si>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</si>
  <si>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</si>
  <si>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</si>
  <si>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5+6+7+8))</t>
  </si>
  <si>
    <t>sektor 
finansów 
publicznych 
ogółem 
(kol 5+6+7+8)</t>
  </si>
  <si>
    <t>KG4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</si>
  <si>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</si>
  <si>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</si>
  <si>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</si>
  <si>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</si>
  <si>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</si>
  <si>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</si>
  <si>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</si>
  <si>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</si>
  <si>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>KIF</t>
  </si>
  <si>
    <t>KPN</t>
  </si>
  <si>
    <t>KGD</t>
  </si>
  <si>
    <t>KIN</t>
  </si>
  <si>
    <t>ZSE</t>
  </si>
  <si>
    <t>ZPZ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</si>
  <si>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</si>
  <si>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</si>
  <si>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</si>
  <si>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</si>
  <si>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</si>
  <si>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bank centralny</t>
  </si>
  <si>
    <t>N. NALEŻNOŚCI ORAZ WYBRANE AKTYWA FINANSOWE  (N1+N2+N3+N4+N5)   z tego: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</si>
  <si>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</si>
  <si>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</si>
  <si>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</si>
  <si>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</si>
  <si>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</si>
  <si>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</si>
  <si>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</si>
  <si>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</si>
  <si>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</si>
  <si>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</si>
  <si>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</si>
  <si>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</si>
  <si>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</si>
  <si>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</si>
  <si>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</si>
  <si>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</si>
  <si>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</si>
  <si>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Symbol=N12</t>
  </si>
  <si>
    <t>Symbol=N22</t>
  </si>
  <si>
    <t>Symbol=N31</t>
  </si>
  <si>
    <t>Symbol=N32</t>
  </si>
  <si>
    <t>Symbol=N33</t>
  </si>
  <si>
    <t>Symbol=N42</t>
  </si>
  <si>
    <t>Symbol=N5</t>
  </si>
  <si>
    <t>Symbol=N51</t>
  </si>
  <si>
    <t>Symbol=N52</t>
  </si>
  <si>
    <t>Symbol=N53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</si>
  <si>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</si>
  <si>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</si>
  <si>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</si>
  <si>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</si>
  <si>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</si>
  <si>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</si>
  <si>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</si>
  <si>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</si>
  <si>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</si>
  <si>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</si>
  <si>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</si>
  <si>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Symbol=E12</t>
  </si>
  <si>
    <t>Symbol=E22</t>
  </si>
  <si>
    <t>Symbol=E42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</si>
  <si>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</si>
  <si>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</si>
  <si>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</si>
  <si>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</si>
  <si>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</si>
  <si>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</si>
  <si>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</si>
  <si>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Symbol=B1</t>
  </si>
  <si>
    <t>Symbol=B2</t>
  </si>
  <si>
    <t>Symbol=B3</t>
  </si>
  <si>
    <t>Symbol=B4</t>
  </si>
  <si>
    <t>G4</t>
  </si>
  <si>
    <t>PP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</si>
  <si>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</si>
  <si>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</si>
  <si>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</si>
  <si>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</si>
  <si>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</si>
  <si>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</si>
  <si>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</si>
  <si>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</si>
  <si>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</si>
  <si>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</si>
  <si>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</si>
  <si>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</si>
  <si>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</si>
  <si>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</si>
  <si>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Symbol=N2</t>
  </si>
  <si>
    <t>sektora finansów publicznych (kol.5+6+7+8)</t>
  </si>
  <si>
    <t>wierzyciele i dłużnicy</t>
  </si>
  <si>
    <t>tytul</t>
  </si>
  <si>
    <t>w złotych</t>
  </si>
  <si>
    <t>E1 papiery wartościowe 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</si>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</sst>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8" borderId="0" applyNumberFormat="0" applyBorder="0" applyAlignment="0" applyProtection="0"/>
    <xf numFmtId="0" fontId="5" fillId="0" borderId="0"/>
    <xf numFmtId="0" fontId="1" fillId="4" borderId="8" applyNumberFormat="0" applyFont="0" applyAlignment="0" applyProtection="0"/>
    <xf numFmtId="0" fontId="24" fillId="16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9">
    <xf numFmtId="0" fontId="0" fillId="0" borderId="0" xfId="0"/>
    <xf numFmtId="0" fontId="4" fillId="0" borderId="0" xfId="37" applyFont="1" applyAlignment="1">
      <alignment horizontal="center" vertical="center" wrapText="1"/>
    </xf>
    <xf numFmtId="0" fontId="5" fillId="0" borderId="0" xfId="37" applyAlignment="1">
      <alignment horizontal="center" vertical="center" wrapText="1"/>
    </xf>
    <xf numFmtId="0" fontId="6" fillId="19" borderId="10" xfId="37" applyFont="1" applyFill="1" applyBorder="1" applyAlignment="1">
      <alignment horizontal="center" vertical="center" wrapText="1"/>
    </xf>
    <xf numFmtId="0" fontId="6" fillId="19" borderId="11" xfId="37" applyFont="1" applyFill="1" applyBorder="1" applyAlignment="1">
      <alignment horizontal="center" vertical="center" wrapText="1"/>
    </xf>
    <xf numFmtId="0" fontId="6" fillId="19" borderId="12" xfId="37" applyFont="1" applyFill="1" applyBorder="1" applyAlignment="1">
      <alignment horizontal="center" vertical="center" wrapText="1"/>
    </xf>
    <xf numFmtId="0" fontId="6" fillId="19" borderId="13" xfId="37" applyFont="1" applyFill="1" applyBorder="1" applyAlignment="1">
      <alignment horizontal="center" vertical="center" wrapText="1"/>
    </xf>
    <xf numFmtId="0" fontId="3" fillId="19" borderId="10" xfId="37" applyFont="1" applyFill="1" applyBorder="1" applyAlignment="1">
      <alignment horizontal="center" vertical="center" wrapText="1"/>
    </xf>
    <xf numFmtId="0" fontId="3" fillId="0" borderId="10" xfId="37" applyFont="1" applyBorder="1" applyAlignment="1">
      <alignment horizontal="left" vertical="center" wrapText="1"/>
    </xf>
    <xf numFmtId="0" fontId="5" fillId="0" borderId="0" xfId="37" applyFill="1" applyBorder="1" applyAlignment="1">
      <alignment horizontal="center" vertical="center" wrapText="1"/>
    </xf>
    <xf numFmtId="0" fontId="6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6" fillId="19" borderId="14" xfId="37" applyFont="1" applyFill="1" applyBorder="1" applyAlignment="1">
      <alignment horizontal="center" vertical="center" wrapText="1"/>
    </xf>
    <xf numFmtId="0" fontId="6" fillId="19" borderId="15" xfId="37" applyFont="1" applyFill="1" applyBorder="1" applyAlignment="1">
      <alignment horizontal="center" vertical="center" wrapText="1"/>
    </xf>
    <xf numFmtId="0" fontId="10" fillId="0" borderId="10" xfId="0" applyFont="1" applyBorder="1"/>
    <xf numFmtId="0" fontId="10" fillId="0" borderId="0" xfId="0" applyFont="1"/>
    <xf numFmtId="169" fontId="10" fillId="0" borderId="10" xfId="0" applyNumberFormat="1" applyFont="1" applyBorder="1"/>
    <xf numFmtId="0" fontId="6" fillId="19" borderId="16" xfId="37" applyFont="1" applyFill="1" applyBorder="1" applyAlignment="1">
      <alignment horizontal="center" vertical="center" wrapText="1"/>
    </xf>
    <xf numFmtId="0" fontId="6" fillId="19" borderId="17" xfId="37" applyFont="1" applyFill="1" applyBorder="1" applyAlignment="1">
      <alignment horizontal="center" vertical="center" wrapText="1"/>
    </xf>
    <xf numFmtId="0" fontId="5" fillId="19" borderId="18" xfId="37" applyFill="1" applyBorder="1" applyAlignment="1">
      <alignment horizontal="center" vertical="center" wrapText="1"/>
    </xf>
    <xf numFmtId="0" fontId="3" fillId="19" borderId="17" xfId="37" applyFont="1" applyFill="1" applyBorder="1" applyAlignment="1">
      <alignment horizontal="center" vertical="center" wrapText="1"/>
    </xf>
    <xf numFmtId="0" fontId="6" fillId="19" borderId="19" xfId="37" applyFont="1" applyFill="1" applyBorder="1" applyAlignment="1">
      <alignment horizontal="center" vertical="center" wrapText="1"/>
    </xf>
    <xf numFmtId="0" fontId="9" fillId="0" borderId="17" xfId="37" applyFont="1" applyBorder="1" applyAlignment="1">
      <alignment horizontal="left" vertical="center" wrapText="1"/>
    </xf>
    <xf numFmtId="0" fontId="28" fillId="0" borderId="20" xfId="0" applyFont="1" applyFill="1" applyBorder="1" applyAlignment="1">
      <alignment wrapText="1"/>
    </xf>
    <xf numFmtId="0" fontId="28" fillId="0" borderId="19" xfId="0" applyFont="1" applyFill="1" applyBorder="1" applyAlignment="1">
      <alignment horizontal="left" wrapText="1"/>
    </xf>
    <xf numFmtId="0" fontId="28" fillId="0" borderId="19" xfId="0" applyFont="1" applyFill="1" applyBorder="1" applyAlignment="1">
      <alignment wrapText="1"/>
    </xf>
    <xf numFmtId="0" fontId="28" fillId="0" borderId="21" xfId="0" applyFont="1" applyFill="1" applyBorder="1" applyAlignment="1">
      <alignment horizontal="left" wrapText="1"/>
    </xf>
    <xf numFmtId="0" fontId="30" fillId="0" borderId="22" xfId="0" applyFont="1" applyFill="1" applyBorder="1" applyAlignment="1">
      <alignment wrapText="1"/>
    </xf>
    <xf numFmtId="0" fontId="30" fillId="0" borderId="22" xfId="0" applyFont="1" applyFill="1" applyBorder="1" applyAlignment="1">
      <alignment horizontal="left" wrapText="1" indent="1"/>
    </xf>
    <xf numFmtId="0" fontId="30" fillId="0" borderId="23" xfId="0" applyFont="1" applyFill="1" applyBorder="1" applyAlignment="1">
      <alignment wrapText="1"/>
    </xf>
    <xf numFmtId="0" fontId="30" fillId="0" borderId="23" xfId="0" applyFont="1" applyFill="1" applyBorder="1" applyAlignment="1">
      <alignment horizontal="left" wrapText="1" indent="1"/>
    </xf>
    <xf numFmtId="0" fontId="30" fillId="0" borderId="22" xfId="0" applyFont="1" applyFill="1" applyBorder="1" applyAlignment="1">
      <alignment horizontal="left" indent="1"/>
    </xf>
    <xf numFmtId="0" fontId="30" fillId="0" borderId="23" xfId="0" applyFont="1" applyFill="1" applyBorder="1"/>
    <xf numFmtId="0" fontId="30" fillId="0" borderId="24" xfId="0" applyFont="1" applyFill="1" applyBorder="1" applyAlignment="1">
      <alignment horizontal="left" indent="1"/>
    </xf>
    <xf numFmtId="0" fontId="5" fillId="0" borderId="0" xfId="37" applyBorder="1" applyAlignment="1">
      <alignment horizontal="center" vertical="center" wrapText="1"/>
    </xf>
    <xf numFmtId="0" fontId="2" fillId="0" borderId="25" xfId="37" applyFont="1" applyBorder="1" applyAlignment="1">
      <alignment horizontal="left" vertical="center" wrapText="1"/>
    </xf>
    <xf numFmtId="0" fontId="5" fillId="19" borderId="0" xfId="37" applyFont="1" applyFill="1" applyAlignment="1">
      <alignment horizontal="center" vertical="center" wrapText="1"/>
    </xf>
    <xf numFmtId="0" fontId="29" fillId="0" borderId="0" xfId="37" applyFont="1" applyAlignment="1">
      <alignment horizontal="center" vertical="center" wrapText="1"/>
    </xf>
    <xf numFmtId="0" fontId="29" fillId="0" borderId="0" xfId="37" applyFont="1" applyFill="1" applyBorder="1" applyAlignment="1">
      <alignment horizontal="center" vertical="center" wrapText="1"/>
    </xf>
    <xf numFmtId="0" fontId="5" fillId="19" borderId="10" xfId="37" applyFill="1" applyBorder="1" applyAlignment="1">
      <alignment horizontal="center" vertical="center" wrapText="1"/>
    </xf>
    <xf numFmtId="0" fontId="8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0" borderId="10" xfId="37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indent="1"/>
    </xf>
    <xf numFmtId="4" fontId="8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4" fillId="0" borderId="22" xfId="0" applyFont="1" applyFill="1" applyBorder="1" applyAlignment="1">
      <alignment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9" fillId="20" borderId="10" xfId="37" applyFont="1" applyFill="1" applyBorder="1" applyAlignment="1">
      <alignment horizontal="left" vertical="center" wrapText="1"/>
    </xf>
    <xf numFmtId="4" fontId="8" fillId="20" borderId="10" xfId="37" applyNumberFormat="1" applyFont="1" applyFill="1" applyBorder="1" applyAlignment="1">
      <alignment horizontal="right" vertical="center" wrapText="1"/>
    </xf>
    <xf numFmtId="4" fontId="8" fillId="0" borderId="10" xfId="37" applyNumberFormat="1" applyFont="1" applyBorder="1" applyAlignment="1">
      <alignment horizontal="right" vertical="center" wrapText="1"/>
    </xf>
    <xf numFmtId="4" fontId="8" fillId="20" borderId="10" xfId="37" applyNumberFormat="1" applyFont="1" applyFill="1" applyBorder="1" applyAlignment="1">
      <alignment vertical="center" wrapText="1"/>
    </xf>
    <xf numFmtId="4" fontId="8" fillId="0" borderId="10" xfId="37" applyNumberFormat="1" applyFont="1" applyFill="1" applyBorder="1" applyAlignment="1">
      <alignment vertical="center" wrapText="1"/>
    </xf>
    <xf numFmtId="0" fontId="33" fillId="21" borderId="22" xfId="0" applyFont="1" applyFill="1" applyBorder="1" applyAlignment="1">
      <alignment vertical="center" wrapText="1"/>
    </xf>
    <xf numFmtId="4" fontId="8" fillId="0" borderId="10" xfId="37" applyNumberFormat="1" applyFont="1" applyFill="1" applyBorder="1" applyAlignment="1">
      <alignment horizontal="right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  <xf numFmtId="0" fontId="8" fillId="19" borderId="10" xfId="37" applyFont="1" applyFill="1" applyBorder="1" applyAlignment="1">
      <alignment horizontal="center" vertical="center" wrapText="1"/>
    </xf>
    <xf numFmtId="0" fontId="35" fillId="0" borderId="0" xfId="37" applyFont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27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32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8" fillId="0" borderId="15" xfId="37" applyNumberFormat="1" applyFont="1" applyBorder="1" applyAlignment="1">
      <alignment horizontal="right" vertical="center" wrapText="1"/>
    </xf>
    <xf numFmtId="4" fontId="8" fillId="0" borderId="11" xfId="37" applyNumberFormat="1" applyFont="1" applyBorder="1" applyAlignment="1">
      <alignment horizontal="right" vertical="center" wrapText="1"/>
    </xf>
    <xf numFmtId="0" fontId="7" fillId="0" borderId="0" xfId="37" applyFont="1" applyAlignment="1">
      <alignment horizontal="left" vertical="center" wrapText="1"/>
    </xf>
    <xf numFmtId="0" fontId="6" fillId="19" borderId="15" xfId="37" applyFont="1" applyFill="1" applyBorder="1" applyAlignment="1">
      <alignment horizontal="center" vertical="center" wrapText="1"/>
    </xf>
    <xf numFmtId="0" fontId="6" fillId="19" borderId="11" xfId="37" applyFont="1" applyFill="1" applyBorder="1" applyAlignment="1">
      <alignment horizontal="center" vertical="center" wrapText="1"/>
    </xf>
    <xf numFmtId="0" fontId="6" fillId="19" borderId="10" xfId="37" applyFont="1" applyFill="1" applyBorder="1" applyAlignment="1">
      <alignment horizontal="center" vertical="center" wrapText="1"/>
    </xf>
    <xf numFmtId="0" fontId="9" fillId="19" borderId="29" xfId="37" applyFont="1" applyFill="1" applyBorder="1" applyAlignment="1">
      <alignment horizontal="center" vertical="center" wrapText="1"/>
    </xf>
    <xf numFmtId="0" fontId="9" fillId="19" borderId="25" xfId="37" applyFont="1" applyFill="1" applyBorder="1" applyAlignment="1">
      <alignment horizontal="center" vertical="center" wrapText="1"/>
    </xf>
    <xf numFmtId="0" fontId="9" fillId="19" borderId="30" xfId="37" applyFont="1" applyFill="1" applyBorder="1" applyAlignment="1">
      <alignment horizontal="center" vertical="center" wrapText="1"/>
    </xf>
    <xf numFmtId="0" fontId="9" fillId="19" borderId="28" xfId="37" applyFont="1" applyFill="1" applyBorder="1" applyAlignment="1">
      <alignment horizontal="center" vertical="center" wrapText="1"/>
    </xf>
    <xf numFmtId="0" fontId="9" fillId="19" borderId="0" xfId="37" applyFont="1" applyFill="1" applyBorder="1" applyAlignment="1">
      <alignment horizontal="center" vertical="center" wrapText="1"/>
    </xf>
    <xf numFmtId="0" fontId="9" fillId="19" borderId="31" xfId="37" applyFont="1" applyFill="1" applyBorder="1" applyAlignment="1">
      <alignment horizontal="center" vertical="center" wrapText="1"/>
    </xf>
    <xf numFmtId="0" fontId="9" fillId="19" borderId="13" xfId="37" applyFont="1" applyFill="1" applyBorder="1" applyAlignment="1">
      <alignment horizontal="center" vertical="center" wrapText="1"/>
    </xf>
    <xf numFmtId="0" fontId="9" fillId="19" borderId="32" xfId="37" applyFont="1" applyFill="1" applyBorder="1" applyAlignment="1">
      <alignment horizontal="center" vertical="center" wrapText="1"/>
    </xf>
    <xf numFmtId="0" fontId="9" fillId="19" borderId="16" xfId="37" applyFont="1" applyFill="1" applyBorder="1" applyAlignment="1">
      <alignment horizontal="center" vertical="center" wrapText="1"/>
    </xf>
    <xf numFmtId="3" fontId="8" fillId="0" borderId="15" xfId="37" applyNumberFormat="1" applyFont="1" applyBorder="1" applyAlignment="1">
      <alignment horizontal="right" vertical="center" wrapText="1"/>
    </xf>
    <xf numFmtId="3" fontId="8" fillId="0" borderId="11" xfId="37" applyNumberFormat="1" applyFont="1" applyBorder="1" applyAlignment="1">
      <alignment horizontal="right" vertical="center" wrapText="1"/>
    </xf>
    <xf numFmtId="0" fontId="6" fillId="19" borderId="14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8" fillId="20" borderId="15" xfId="37" applyNumberFormat="1" applyFont="1" applyFill="1" applyBorder="1" applyAlignment="1">
      <alignment horizontal="right" vertical="center" wrapText="1"/>
    </xf>
    <xf numFmtId="3" fontId="8" fillId="20" borderId="11" xfId="37" applyNumberFormat="1" applyFont="1" applyFill="1" applyBorder="1" applyAlignment="1">
      <alignment horizontal="right" vertical="center" wrapText="1"/>
    </xf>
    <xf numFmtId="4" fontId="8" fillId="20" borderId="15" xfId="37" applyNumberFormat="1" applyFont="1" applyFill="1" applyBorder="1" applyAlignment="1">
      <alignment horizontal="right" vertical="center" wrapText="1"/>
    </xf>
    <xf numFmtId="4" fontId="8" fillId="20" borderId="11" xfId="37" applyNumberFormat="1" applyFont="1" applyFill="1" applyBorder="1" applyAlignment="1">
      <alignment horizontal="right" vertical="center" wrapText="1"/>
    </xf>
    <xf numFmtId="0" fontId="6" fillId="19" borderId="29" xfId="37" applyFont="1" applyFill="1" applyBorder="1" applyAlignment="1">
      <alignment horizontal="center" vertical="center" wrapText="1"/>
    </xf>
    <xf numFmtId="0" fontId="6" fillId="19" borderId="28" xfId="37" applyFont="1" applyFill="1" applyBorder="1" applyAlignment="1">
      <alignment horizontal="center" vertical="center" wrapText="1"/>
    </xf>
    <xf numFmtId="0" fontId="6" fillId="19" borderId="13" xfId="37" applyFont="1" applyFill="1" applyBorder="1" applyAlignment="1">
      <alignment horizontal="center" vertical="center" wrapText="1"/>
    </xf>
    <xf numFmtId="0" fontId="32" fillId="19" borderId="10" xfId="37" applyFont="1" applyFill="1" applyBorder="1" applyAlignment="1">
      <alignment horizontal="center" vertical="center" wrapText="1"/>
    </xf>
    <xf numFmtId="0" fontId="8" fillId="19" borderId="28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29" fillId="0" borderId="0" xfId="37" applyFont="1" applyFill="1" applyBorder="1" applyAlignment="1">
      <alignment horizontal="center" vertical="center" wrapText="1"/>
    </xf>
    <xf numFmtId="0" fontId="31" fillId="19" borderId="26" xfId="37" applyFont="1" applyFill="1" applyBorder="1" applyAlignment="1">
      <alignment horizontal="center" vertical="center" wrapText="1"/>
    </xf>
    <xf numFmtId="0" fontId="31" fillId="19" borderId="27" xfId="37" applyFont="1" applyFill="1" applyBorder="1" applyAlignment="1">
      <alignment horizontal="center" vertical="center" wrapText="1"/>
    </xf>
    <xf numFmtId="0" fontId="31" fillId="19" borderId="12" xfId="37" applyFont="1" applyFill="1" applyBorder="1" applyAlignment="1">
      <alignment horizontal="center" vertical="center" wrapText="1"/>
    </xf>
    <xf numFmtId="0" fontId="31" fillId="19" borderId="15" xfId="37" applyFont="1" applyFill="1" applyBorder="1" applyAlignment="1">
      <alignment horizontal="center" vertical="center" wrapText="1"/>
    </xf>
    <xf numFmtId="0" fontId="31" fillId="19" borderId="14" xfId="37" applyFont="1" applyFill="1" applyBorder="1" applyAlignment="1">
      <alignment horizontal="center" vertical="center" wrapText="1"/>
    </xf>
    <xf numFmtId="0" fontId="31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19" borderId="10" xfId="37" applyNumberFormat="1" applyFont="1" applyFill="1" applyBorder="1" applyAlignment="1">
      <alignment horizontal="center" vertical="center" wrapText="1"/>
    </xf>
    <xf numFmtId="0" fontId="6" fillId="0" borderId="10" xfId="37" applyFont="1" applyBorder="1" applyAlignment="1">
      <alignment horizontal="left" vertical="center" wrapText="1"/>
    </xf>
    <xf numFmtId="0" fontId="6" fillId="20" borderId="10" xfId="37" applyFont="1" applyFill="1" applyBorder="1" applyAlignment="1">
      <alignment horizontal="left" vertical="center" wrapText="1"/>
    </xf>
    <xf numFmtId="0" fontId="6" fillId="19" borderId="30" xfId="37" applyFont="1" applyFill="1" applyBorder="1" applyAlignment="1">
      <alignment horizontal="center" vertical="center" wrapText="1"/>
    </xf>
    <xf numFmtId="0" fontId="6" fillId="19" borderId="31" xfId="37" applyFont="1" applyFill="1" applyBorder="1" applyAlignment="1">
      <alignment horizontal="center" vertical="center" wrapText="1"/>
    </xf>
    <xf numFmtId="0" fontId="6" fillId="19" borderId="16" xfId="37" applyFont="1" applyFill="1" applyBorder="1" applyAlignment="1">
      <alignment horizontal="center" vertical="center" wrapText="1"/>
    </xf>
    <xf numFmtId="0" fontId="6" fillId="20" borderId="14" xfId="37" applyFont="1" applyFill="1" applyBorder="1" applyAlignment="1">
      <alignment horizontal="left" vertical="center" wrapText="1"/>
    </xf>
    <xf numFmtId="0" fontId="6" fillId="20" borderId="11" xfId="37" applyFont="1" applyFill="1" applyBorder="1" applyAlignment="1">
      <alignment horizontal="left" vertical="center" wrapText="1"/>
    </xf>
    <xf numFmtId="0" fontId="6" fillId="0" borderId="14" xfId="37" applyFont="1" applyBorder="1" applyAlignment="1">
      <alignment horizontal="left" vertical="center" wrapText="1"/>
    </xf>
    <xf numFmtId="0" fontId="6" fillId="0" borderId="11" xfId="37" applyFont="1" applyBorder="1" applyAlignment="1">
      <alignment horizontal="left" vertical="center" wrapText="1"/>
    </xf>
    <xf numFmtId="0" fontId="6" fillId="19" borderId="26" xfId="37" applyFont="1" applyFill="1" applyBorder="1" applyAlignment="1">
      <alignment horizontal="center" vertical="center" wrapText="1"/>
    </xf>
    <xf numFmtId="0" fontId="6" fillId="19" borderId="27" xfId="37" applyFont="1" applyFill="1" applyBorder="1" applyAlignment="1">
      <alignment horizontal="center" vertical="center" wrapText="1"/>
    </xf>
    <xf numFmtId="0" fontId="6" fillId="19" borderId="12" xfId="37" applyFont="1" applyFill="1" applyBorder="1" applyAlignment="1">
      <alignment horizontal="center" vertical="center" wrapText="1"/>
    </xf>
    <xf numFmtId="0" fontId="6" fillId="20" borderId="23" xfId="37" applyFont="1" applyFill="1" applyBorder="1" applyAlignment="1">
      <alignment horizontal="left" vertical="center" wrapText="1"/>
    </xf>
    <xf numFmtId="0" fontId="9" fillId="19" borderId="14" xfId="37" applyFont="1" applyFill="1" applyBorder="1" applyAlignment="1">
      <alignment horizontal="center" vertical="center" wrapText="1"/>
    </xf>
    <xf numFmtId="0" fontId="9" fillId="19" borderId="11" xfId="37" applyFont="1" applyFill="1" applyBorder="1" applyAlignment="1">
      <alignment horizontal="center" vertical="center" wrapText="1"/>
    </xf>
    <xf numFmtId="0" fontId="9" fillId="19" borderId="33" xfId="37" applyFont="1" applyFill="1" applyBorder="1" applyAlignment="1">
      <alignment horizontal="center" vertical="center" wrapText="1"/>
    </xf>
    <xf numFmtId="0" fontId="6" fillId="19" borderId="34" xfId="37" applyFont="1" applyFill="1" applyBorder="1" applyAlignment="1">
      <alignment horizontal="center" vertical="center" wrapText="1"/>
    </xf>
    <xf numFmtId="0" fontId="6" fillId="19" borderId="35" xfId="37" applyFont="1" applyFill="1" applyBorder="1" applyAlignment="1">
      <alignment horizontal="center" vertical="center" wrapText="1"/>
    </xf>
    <xf numFmtId="0" fontId="6" fillId="19" borderId="18" xfId="37" applyFont="1" applyFill="1" applyBorder="1" applyAlignment="1">
      <alignment horizontal="center" vertical="center" wrapText="1"/>
    </xf>
    <xf numFmtId="0" fontId="6" fillId="19" borderId="10" xfId="37" applyNumberFormat="1" applyFont="1" applyFill="1" applyBorder="1" applyAlignment="1">
      <alignment horizontal="center" vertical="center" wrapText="1"/>
    </xf>
    <xf numFmtId="0" fontId="4" fillId="0" borderId="0" xfId="37" applyFont="1" applyAlignment="1">
      <alignment horizontal="center" vertical="center" wrapText="1"/>
    </xf>
    <xf numFmtId="0" fontId="3" fillId="19" borderId="17" xfId="37" applyFont="1" applyFill="1" applyBorder="1" applyAlignment="1">
      <alignment horizontal="center" vertical="center" wrapText="1"/>
    </xf>
    <xf numFmtId="0" fontId="9" fillId="19" borderId="19" xfId="37" applyFont="1" applyFill="1" applyBorder="1" applyAlignment="1">
      <alignment horizontal="center" vertical="center" wrapText="1"/>
    </xf>
    <xf numFmtId="0" fontId="3" fillId="0" borderId="0" xfId="37" applyFont="1" applyBorder="1" applyAlignment="1">
      <alignment horizontal="left" vertical="center" wrapText="1"/>
    </xf>
    <xf numFmtId="0" fontId="3" fillId="0" borderId="31" xfId="37" applyFont="1" applyBorder="1" applyAlignment="1">
      <alignment horizontal="left" vertical="center" wrapText="1"/>
    </xf>
    <xf numFmtId="0" fontId="3" fillId="19" borderId="10" xfId="37" applyFont="1" applyFill="1" applyBorder="1" applyAlignment="1">
      <alignment horizontal="center" vertical="center" wrapText="1"/>
    </xf>
    <xf numFmtId="0" fontId="3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center" vertical="center" wrapText="1"/>
    </xf>
    <xf numFmtId="0" fontId="2" fillId="0" borderId="14" xfId="37" applyFont="1" applyBorder="1" applyAlignment="1">
      <alignment horizontal="center" vertical="center" wrapText="1"/>
    </xf>
    <xf numFmtId="0" fontId="2" fillId="0" borderId="11" xfId="37" applyFont="1" applyBorder="1" applyAlignment="1">
      <alignment horizontal="center" vertical="center" wrapText="1"/>
    </xf>
    <xf numFmtId="0" fontId="2" fillId="20" borderId="15" xfId="37" applyFont="1" applyFill="1" applyBorder="1" applyAlignment="1">
      <alignment horizontal="center" vertical="center" wrapText="1"/>
    </xf>
    <xf numFmtId="0" fontId="2" fillId="20" borderId="14" xfId="37" applyFont="1" applyFill="1" applyBorder="1" applyAlignment="1">
      <alignment horizontal="center" vertical="center" wrapText="1"/>
    </xf>
    <xf numFmtId="0" fontId="2" fillId="20" borderId="11" xfId="37" applyFont="1" applyFill="1" applyBorder="1" applyAlignment="1">
      <alignment horizontal="center" vertical="center" wrapText="1"/>
    </xf>
    <xf numFmtId="0" fontId="2" fillId="0" borderId="0" xfId="37" applyFont="1" applyBorder="1" applyAlignment="1">
      <alignment horizontal="left" vertical="center" wrapText="1"/>
    </xf>
    <xf numFmtId="1" fontId="2" fillId="0" borderId="10" xfId="37" applyNumberFormat="1" applyFont="1" applyBorder="1" applyAlignment="1">
      <alignment horizontal="left" vertical="center" wrapText="1"/>
    </xf>
    <xf numFmtId="0" fontId="6" fillId="19" borderId="25" xfId="37" applyFont="1" applyFill="1" applyBorder="1" applyAlignment="1">
      <alignment horizontal="center" vertical="center" wrapText="1"/>
    </xf>
    <xf numFmtId="0" fontId="6" fillId="19" borderId="0" xfId="37" applyFont="1" applyFill="1" applyBorder="1" applyAlignment="1">
      <alignment horizontal="center" vertical="center" wrapText="1"/>
    </xf>
    <xf numFmtId="0" fontId="6" fillId="19" borderId="32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26" xfId="37" applyFont="1" applyFill="1" applyBorder="1" applyAlignment="1">
      <alignment horizontal="center" vertical="center" wrapText="1"/>
    </xf>
    <xf numFmtId="0" fontId="5" fillId="19" borderId="27" xfId="37" applyFont="1" applyFill="1" applyBorder="1" applyAlignment="1">
      <alignment horizontal="center" vertical="center" wrapText="1"/>
    </xf>
    <xf numFmtId="0" fontId="5" fillId="19" borderId="12" xfId="37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3"/>
  <sheetViews>
    <sheetView tabSelected="1" zoomScaleNormal="100" zoomScaleSheetLayoutView="75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2.570312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5" width="9.140625" style="2"/>
    <col min="16" max="16" width="10.28515625" style="2" customWidth="1"/>
    <col min="17" max="16384" width="9.140625" style="2"/>
  </cols>
  <sheetData>
    <row r="1" spans="1:17" ht="39.75" customHeight="1" x14ac:dyDescent="0.2">
      <c r="A1" s="60" t="str">
        <f>CONCATENATE("Informacja z wykonania budżetów powiatów za   ",$C$90," ",$B$91," roku    ",$B$93,"")</f>
        <v xml:space="preserve">Informacja z wykonania budżetów powiatów za   II Kwartały 2023 roku    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70" t="s">
        <v>134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5" spans="1:17" ht="13.5" customHeight="1" x14ac:dyDescent="0.2">
      <c r="B5" s="39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38"/>
      <c r="O5" s="38"/>
      <c r="P5" s="38"/>
      <c r="Q5" s="38"/>
    </row>
    <row r="6" spans="1:17" ht="13.5" customHeight="1" x14ac:dyDescent="0.2">
      <c r="A6" s="103" t="s">
        <v>0</v>
      </c>
      <c r="B6" s="61" t="s">
        <v>135</v>
      </c>
      <c r="C6" s="56" t="s">
        <v>139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8"/>
      <c r="O6" s="56" t="s">
        <v>138</v>
      </c>
      <c r="P6" s="57"/>
      <c r="Q6" s="58"/>
    </row>
    <row r="7" spans="1:17" ht="13.5" customHeight="1" x14ac:dyDescent="0.2">
      <c r="A7" s="104"/>
      <c r="B7" s="62"/>
      <c r="C7" s="63" t="s">
        <v>136</v>
      </c>
      <c r="D7" s="63" t="s">
        <v>149</v>
      </c>
      <c r="E7" s="63" t="s">
        <v>140</v>
      </c>
      <c r="F7" s="63" t="s">
        <v>141</v>
      </c>
      <c r="G7" s="63" t="s">
        <v>76</v>
      </c>
      <c r="H7" s="63" t="s">
        <v>77</v>
      </c>
      <c r="I7" s="100" t="s">
        <v>137</v>
      </c>
      <c r="J7" s="63" t="s">
        <v>59</v>
      </c>
      <c r="K7" s="63" t="s">
        <v>60</v>
      </c>
      <c r="L7" s="63" t="s">
        <v>61</v>
      </c>
      <c r="M7" s="63" t="s">
        <v>62</v>
      </c>
      <c r="N7" s="62" t="s">
        <v>63</v>
      </c>
      <c r="O7" s="59" t="s">
        <v>64</v>
      </c>
      <c r="P7" s="59" t="s">
        <v>65</v>
      </c>
      <c r="Q7" s="59" t="s">
        <v>66</v>
      </c>
    </row>
    <row r="8" spans="1:17" ht="13.5" customHeight="1" x14ac:dyDescent="0.2">
      <c r="A8" s="104"/>
      <c r="B8" s="62"/>
      <c r="C8" s="59"/>
      <c r="D8" s="59"/>
      <c r="E8" s="59"/>
      <c r="F8" s="59"/>
      <c r="G8" s="59"/>
      <c r="H8" s="59"/>
      <c r="I8" s="100"/>
      <c r="J8" s="59"/>
      <c r="K8" s="59"/>
      <c r="L8" s="59"/>
      <c r="M8" s="59"/>
      <c r="N8" s="62"/>
      <c r="O8" s="59"/>
      <c r="P8" s="59"/>
      <c r="Q8" s="59"/>
    </row>
    <row r="9" spans="1:17" ht="11.25" customHeight="1" x14ac:dyDescent="0.2">
      <c r="A9" s="104"/>
      <c r="B9" s="62"/>
      <c r="C9" s="59"/>
      <c r="D9" s="59"/>
      <c r="E9" s="59"/>
      <c r="F9" s="59"/>
      <c r="G9" s="59"/>
      <c r="H9" s="59"/>
      <c r="I9" s="100"/>
      <c r="J9" s="59"/>
      <c r="K9" s="59"/>
      <c r="L9" s="59"/>
      <c r="M9" s="59"/>
      <c r="N9" s="62"/>
      <c r="O9" s="59"/>
      <c r="P9" s="59"/>
      <c r="Q9" s="59"/>
    </row>
    <row r="10" spans="1:17" ht="33.75" customHeight="1" x14ac:dyDescent="0.2">
      <c r="A10" s="105"/>
      <c r="B10" s="63"/>
      <c r="C10" s="59"/>
      <c r="D10" s="59"/>
      <c r="E10" s="59"/>
      <c r="F10" s="59"/>
      <c r="G10" s="59"/>
      <c r="H10" s="59"/>
      <c r="I10" s="101"/>
      <c r="J10" s="59"/>
      <c r="K10" s="59"/>
      <c r="L10" s="59"/>
      <c r="M10" s="59"/>
      <c r="N10" s="63"/>
      <c r="O10" s="59"/>
      <c r="P10" s="59"/>
      <c r="Q10" s="59"/>
    </row>
    <row r="11" spans="1:17" ht="15.75" customHeight="1" x14ac:dyDescent="0.2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  <c r="K11" s="41">
        <v>11</v>
      </c>
      <c r="L11" s="41">
        <v>12</v>
      </c>
      <c r="M11" s="41">
        <v>13</v>
      </c>
      <c r="N11" s="41">
        <v>14</v>
      </c>
      <c r="O11" s="41">
        <v>15</v>
      </c>
      <c r="P11" s="41">
        <v>16</v>
      </c>
      <c r="Q11" s="41">
        <v>17</v>
      </c>
    </row>
    <row r="12" spans="1:17" ht="12" customHeight="1" x14ac:dyDescent="0.2">
      <c r="A12" s="41"/>
      <c r="B12" s="109" t="s">
        <v>152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1"/>
    </row>
    <row r="13" spans="1:17" ht="39.75" customHeight="1" x14ac:dyDescent="0.2">
      <c r="A13" s="49" t="s">
        <v>107</v>
      </c>
      <c r="B13" s="50">
        <f>5835295255.14</f>
        <v>5835295255.1400003</v>
      </c>
      <c r="C13" s="50">
        <f>5835295255.14</f>
        <v>5835295255.1400003</v>
      </c>
      <c r="D13" s="50">
        <f>244177852.46</f>
        <v>244177852.46000001</v>
      </c>
      <c r="E13" s="50">
        <f>205515821.1</f>
        <v>205515821.09999999</v>
      </c>
      <c r="F13" s="50">
        <f>10506749.36</f>
        <v>10506749.359999999</v>
      </c>
      <c r="G13" s="50">
        <f>28151810.85</f>
        <v>28151810.850000001</v>
      </c>
      <c r="H13" s="50">
        <f>3471.15</f>
        <v>3471.15</v>
      </c>
      <c r="I13" s="50">
        <f>0</f>
        <v>0</v>
      </c>
      <c r="J13" s="50">
        <f>5294594256.01</f>
        <v>5294594256.0100002</v>
      </c>
      <c r="K13" s="50">
        <f>284941867.88</f>
        <v>284941867.88</v>
      </c>
      <c r="L13" s="50">
        <f>7968052.86</f>
        <v>7968052.8600000003</v>
      </c>
      <c r="M13" s="50">
        <f>396588.93</f>
        <v>396588.93</v>
      </c>
      <c r="N13" s="50">
        <f>3216637</f>
        <v>3216637</v>
      </c>
      <c r="O13" s="50">
        <f>0</f>
        <v>0</v>
      </c>
      <c r="P13" s="50">
        <f>0</f>
        <v>0</v>
      </c>
      <c r="Q13" s="50">
        <f>0</f>
        <v>0</v>
      </c>
    </row>
    <row r="14" spans="1:17" ht="24.75" customHeight="1" x14ac:dyDescent="0.2">
      <c r="A14" s="48" t="s">
        <v>153</v>
      </c>
      <c r="B14" s="50">
        <f>77993000</f>
        <v>77993000</v>
      </c>
      <c r="C14" s="50">
        <f>77993000</f>
        <v>77993000</v>
      </c>
      <c r="D14" s="50">
        <f>0</f>
        <v>0</v>
      </c>
      <c r="E14" s="50">
        <f>0</f>
        <v>0</v>
      </c>
      <c r="F14" s="50">
        <f>0</f>
        <v>0</v>
      </c>
      <c r="G14" s="50">
        <f>0</f>
        <v>0</v>
      </c>
      <c r="H14" s="50">
        <f>0</f>
        <v>0</v>
      </c>
      <c r="I14" s="50">
        <f>0</f>
        <v>0</v>
      </c>
      <c r="J14" s="50">
        <f>77993000</f>
        <v>77993000</v>
      </c>
      <c r="K14" s="50">
        <f>0</f>
        <v>0</v>
      </c>
      <c r="L14" s="50">
        <f>0</f>
        <v>0</v>
      </c>
      <c r="M14" s="50">
        <f>0</f>
        <v>0</v>
      </c>
      <c r="N14" s="50">
        <f>0</f>
        <v>0</v>
      </c>
      <c r="O14" s="50">
        <f>0</f>
        <v>0</v>
      </c>
      <c r="P14" s="50">
        <f>0</f>
        <v>0</v>
      </c>
      <c r="Q14" s="50">
        <f>0</f>
        <v>0</v>
      </c>
    </row>
    <row r="15" spans="1:17" ht="21" customHeight="1" x14ac:dyDescent="0.2">
      <c r="A15" s="46" t="s">
        <v>109</v>
      </c>
      <c r="B15" s="51">
        <f>0</f>
        <v>0</v>
      </c>
      <c r="C15" s="51">
        <f>0</f>
        <v>0</v>
      </c>
      <c r="D15" s="51">
        <f>0</f>
        <v>0</v>
      </c>
      <c r="E15" s="51">
        <f>0</f>
        <v>0</v>
      </c>
      <c r="F15" s="51">
        <f>0</f>
        <v>0</v>
      </c>
      <c r="G15" s="51">
        <f>0</f>
        <v>0</v>
      </c>
      <c r="H15" s="51">
        <f>0</f>
        <v>0</v>
      </c>
      <c r="I15" s="51">
        <f>0</f>
        <v>0</v>
      </c>
      <c r="J15" s="51">
        <f>0</f>
        <v>0</v>
      </c>
      <c r="K15" s="51">
        <f>0</f>
        <v>0</v>
      </c>
      <c r="L15" s="51">
        <f>0</f>
        <v>0</v>
      </c>
      <c r="M15" s="51">
        <f>0</f>
        <v>0</v>
      </c>
      <c r="N15" s="51">
        <f>0</f>
        <v>0</v>
      </c>
      <c r="O15" s="51">
        <f>0</f>
        <v>0</v>
      </c>
      <c r="P15" s="51">
        <f>0</f>
        <v>0</v>
      </c>
      <c r="Q15" s="51">
        <f>0</f>
        <v>0</v>
      </c>
    </row>
    <row r="16" spans="1:17" ht="20.25" customHeight="1" x14ac:dyDescent="0.2">
      <c r="A16" s="46" t="s">
        <v>110</v>
      </c>
      <c r="B16" s="51">
        <f>77993000</f>
        <v>77993000</v>
      </c>
      <c r="C16" s="51">
        <f>77993000</f>
        <v>77993000</v>
      </c>
      <c r="D16" s="51">
        <f>0</f>
        <v>0</v>
      </c>
      <c r="E16" s="51">
        <f>0</f>
        <v>0</v>
      </c>
      <c r="F16" s="51">
        <f>0</f>
        <v>0</v>
      </c>
      <c r="G16" s="51">
        <f>0</f>
        <v>0</v>
      </c>
      <c r="H16" s="51">
        <f>0</f>
        <v>0</v>
      </c>
      <c r="I16" s="51">
        <f>0</f>
        <v>0</v>
      </c>
      <c r="J16" s="51">
        <f>77993000</f>
        <v>77993000</v>
      </c>
      <c r="K16" s="51">
        <f>0</f>
        <v>0</v>
      </c>
      <c r="L16" s="51">
        <f>0</f>
        <v>0</v>
      </c>
      <c r="M16" s="51">
        <f>0</f>
        <v>0</v>
      </c>
      <c r="N16" s="51">
        <f>0</f>
        <v>0</v>
      </c>
      <c r="O16" s="51">
        <f>0</f>
        <v>0</v>
      </c>
      <c r="P16" s="51">
        <f>0</f>
        <v>0</v>
      </c>
      <c r="Q16" s="51">
        <f>0</f>
        <v>0</v>
      </c>
    </row>
    <row r="17" spans="1:17" ht="24" customHeight="1" x14ac:dyDescent="0.2">
      <c r="A17" s="49" t="s">
        <v>154</v>
      </c>
      <c r="B17" s="50">
        <f>5749547668.27</f>
        <v>5749547668.2700005</v>
      </c>
      <c r="C17" s="50">
        <f>5749547668.27</f>
        <v>5749547668.2700005</v>
      </c>
      <c r="D17" s="50">
        <f>238162653.91</f>
        <v>238162653.91</v>
      </c>
      <c r="E17" s="50">
        <f>200890298.41</f>
        <v>200890298.41</v>
      </c>
      <c r="F17" s="50">
        <f>10481775.61</f>
        <v>10481775.609999999</v>
      </c>
      <c r="G17" s="50">
        <f>26790579.89</f>
        <v>26790579.890000001</v>
      </c>
      <c r="H17" s="50">
        <f>0</f>
        <v>0</v>
      </c>
      <c r="I17" s="50">
        <f>0</f>
        <v>0</v>
      </c>
      <c r="J17" s="50">
        <f>5216601256.01</f>
        <v>5216601256.0100002</v>
      </c>
      <c r="K17" s="50">
        <f>284941867.88</f>
        <v>284941867.88</v>
      </c>
      <c r="L17" s="50">
        <f>6727009.17</f>
        <v>6727009.1699999999</v>
      </c>
      <c r="M17" s="50">
        <f>1389.3</f>
        <v>1389.3</v>
      </c>
      <c r="N17" s="50">
        <f>3113492</f>
        <v>3113492</v>
      </c>
      <c r="O17" s="50">
        <f>0</f>
        <v>0</v>
      </c>
      <c r="P17" s="50">
        <f>0</f>
        <v>0</v>
      </c>
      <c r="Q17" s="50">
        <f>0</f>
        <v>0</v>
      </c>
    </row>
    <row r="18" spans="1:17" ht="23.25" customHeight="1" x14ac:dyDescent="0.2">
      <c r="A18" s="46" t="s">
        <v>112</v>
      </c>
      <c r="B18" s="51">
        <f>42268789.56</f>
        <v>42268789.560000002</v>
      </c>
      <c r="C18" s="51">
        <f>42268789.56</f>
        <v>42268789.560000002</v>
      </c>
      <c r="D18" s="51">
        <f>110592</f>
        <v>110592</v>
      </c>
      <c r="E18" s="51">
        <f>0</f>
        <v>0</v>
      </c>
      <c r="F18" s="51">
        <f>110592</f>
        <v>110592</v>
      </c>
      <c r="G18" s="51">
        <f>0</f>
        <v>0</v>
      </c>
      <c r="H18" s="51">
        <f>0</f>
        <v>0</v>
      </c>
      <c r="I18" s="51">
        <f>0</f>
        <v>0</v>
      </c>
      <c r="J18" s="51">
        <f>37805244.26</f>
        <v>37805244.259999998</v>
      </c>
      <c r="K18" s="51">
        <f>22953.3</f>
        <v>22953.3</v>
      </c>
      <c r="L18" s="51">
        <f>4330000</f>
        <v>4330000</v>
      </c>
      <c r="M18" s="51">
        <f>0</f>
        <v>0</v>
      </c>
      <c r="N18" s="51">
        <f>0</f>
        <v>0</v>
      </c>
      <c r="O18" s="51">
        <f>0</f>
        <v>0</v>
      </c>
      <c r="P18" s="51">
        <f>0</f>
        <v>0</v>
      </c>
      <c r="Q18" s="51">
        <f>0</f>
        <v>0</v>
      </c>
    </row>
    <row r="19" spans="1:17" ht="21.75" customHeight="1" x14ac:dyDescent="0.2">
      <c r="A19" s="46" t="s">
        <v>113</v>
      </c>
      <c r="B19" s="51">
        <f>5707278878.71</f>
        <v>5707278878.71</v>
      </c>
      <c r="C19" s="51">
        <f>5707278878.71</f>
        <v>5707278878.71</v>
      </c>
      <c r="D19" s="51">
        <f>238052061.91</f>
        <v>238052061.91</v>
      </c>
      <c r="E19" s="51">
        <f>200890298.41</f>
        <v>200890298.41</v>
      </c>
      <c r="F19" s="51">
        <f>10371183.61</f>
        <v>10371183.609999999</v>
      </c>
      <c r="G19" s="51">
        <f>26790579.89</f>
        <v>26790579.890000001</v>
      </c>
      <c r="H19" s="51">
        <f>0</f>
        <v>0</v>
      </c>
      <c r="I19" s="51">
        <f>0</f>
        <v>0</v>
      </c>
      <c r="J19" s="51">
        <f>5178796011.75</f>
        <v>5178796011.75</v>
      </c>
      <c r="K19" s="51">
        <f>284918914.58</f>
        <v>284918914.57999998</v>
      </c>
      <c r="L19" s="51">
        <f>2397009.17</f>
        <v>2397009.17</v>
      </c>
      <c r="M19" s="51">
        <f>1389.3</f>
        <v>1389.3</v>
      </c>
      <c r="N19" s="51">
        <f>3113492</f>
        <v>3113492</v>
      </c>
      <c r="O19" s="51">
        <f>0</f>
        <v>0</v>
      </c>
      <c r="P19" s="51">
        <f>0</f>
        <v>0</v>
      </c>
      <c r="Q19" s="51">
        <f>0</f>
        <v>0</v>
      </c>
    </row>
    <row r="20" spans="1:17" ht="21.75" customHeight="1" x14ac:dyDescent="0.2">
      <c r="A20" s="46" t="s">
        <v>114</v>
      </c>
      <c r="B20" s="51">
        <f>0</f>
        <v>0</v>
      </c>
      <c r="C20" s="51">
        <f>0</f>
        <v>0</v>
      </c>
      <c r="D20" s="51">
        <f>0</f>
        <v>0</v>
      </c>
      <c r="E20" s="51">
        <f>0</f>
        <v>0</v>
      </c>
      <c r="F20" s="51">
        <f>0</f>
        <v>0</v>
      </c>
      <c r="G20" s="51">
        <f>0</f>
        <v>0</v>
      </c>
      <c r="H20" s="51">
        <f>0</f>
        <v>0</v>
      </c>
      <c r="I20" s="51">
        <f>0</f>
        <v>0</v>
      </c>
      <c r="J20" s="51">
        <f>0</f>
        <v>0</v>
      </c>
      <c r="K20" s="51">
        <f>0</f>
        <v>0</v>
      </c>
      <c r="L20" s="51">
        <f>0</f>
        <v>0</v>
      </c>
      <c r="M20" s="51">
        <f>0</f>
        <v>0</v>
      </c>
      <c r="N20" s="51">
        <f>0</f>
        <v>0</v>
      </c>
      <c r="O20" s="51">
        <f>0</f>
        <v>0</v>
      </c>
      <c r="P20" s="51">
        <f>0</f>
        <v>0</v>
      </c>
      <c r="Q20" s="51">
        <f>0</f>
        <v>0</v>
      </c>
    </row>
    <row r="21" spans="1:17" ht="24.75" customHeight="1" x14ac:dyDescent="0.2">
      <c r="A21" s="49" t="s">
        <v>155</v>
      </c>
      <c r="B21" s="50">
        <f>7754586.87</f>
        <v>7754586.8700000001</v>
      </c>
      <c r="C21" s="50">
        <f>7754586.87</f>
        <v>7754586.8700000001</v>
      </c>
      <c r="D21" s="50">
        <f>6015198.55</f>
        <v>6015198.5499999998</v>
      </c>
      <c r="E21" s="50">
        <f>4625522.69</f>
        <v>4625522.6900000004</v>
      </c>
      <c r="F21" s="50">
        <f>24973.75</f>
        <v>24973.75</v>
      </c>
      <c r="G21" s="50">
        <f>1361230.96</f>
        <v>1361230.96</v>
      </c>
      <c r="H21" s="50">
        <f>3471.15</f>
        <v>3471.15</v>
      </c>
      <c r="I21" s="50">
        <f>0</f>
        <v>0</v>
      </c>
      <c r="J21" s="50">
        <f>0</f>
        <v>0</v>
      </c>
      <c r="K21" s="50">
        <f>0</f>
        <v>0</v>
      </c>
      <c r="L21" s="50">
        <f>1241043.69</f>
        <v>1241043.69</v>
      </c>
      <c r="M21" s="50">
        <f>395199.63</f>
        <v>395199.63</v>
      </c>
      <c r="N21" s="50">
        <f>103145</f>
        <v>103145</v>
      </c>
      <c r="O21" s="50">
        <f>0</f>
        <v>0</v>
      </c>
      <c r="P21" s="50">
        <f>0</f>
        <v>0</v>
      </c>
      <c r="Q21" s="50">
        <f>0</f>
        <v>0</v>
      </c>
    </row>
    <row r="22" spans="1:17" ht="22.5" x14ac:dyDescent="0.2">
      <c r="A22" s="46" t="s">
        <v>116</v>
      </c>
      <c r="B22" s="51">
        <f>1843392.99</f>
        <v>1843392.99</v>
      </c>
      <c r="C22" s="51">
        <f>1843392.99</f>
        <v>1843392.99</v>
      </c>
      <c r="D22" s="51">
        <f>288017.64</f>
        <v>288017.64</v>
      </c>
      <c r="E22" s="51">
        <f>0</f>
        <v>0</v>
      </c>
      <c r="F22" s="51">
        <f>0</f>
        <v>0</v>
      </c>
      <c r="G22" s="51">
        <f>288017.64</f>
        <v>288017.64</v>
      </c>
      <c r="H22" s="51">
        <f>0</f>
        <v>0</v>
      </c>
      <c r="I22" s="51">
        <f>0</f>
        <v>0</v>
      </c>
      <c r="J22" s="51">
        <f>0</f>
        <v>0</v>
      </c>
      <c r="K22" s="51">
        <f>0</f>
        <v>0</v>
      </c>
      <c r="L22" s="51">
        <f>1132736.52</f>
        <v>1132736.52</v>
      </c>
      <c r="M22" s="51">
        <f>319493.83</f>
        <v>319493.83</v>
      </c>
      <c r="N22" s="51">
        <f>103145</f>
        <v>103145</v>
      </c>
      <c r="O22" s="51">
        <f>0</f>
        <v>0</v>
      </c>
      <c r="P22" s="51">
        <f>0</f>
        <v>0</v>
      </c>
      <c r="Q22" s="51">
        <f>0</f>
        <v>0</v>
      </c>
    </row>
    <row r="23" spans="1:17" ht="23.25" customHeight="1" x14ac:dyDescent="0.2">
      <c r="A23" s="46" t="s">
        <v>117</v>
      </c>
      <c r="B23" s="51">
        <f>5911193.88</f>
        <v>5911193.8799999999</v>
      </c>
      <c r="C23" s="51">
        <f>5911193.88</f>
        <v>5911193.8799999999</v>
      </c>
      <c r="D23" s="51">
        <f>5727180.91</f>
        <v>5727180.9100000001</v>
      </c>
      <c r="E23" s="51">
        <f>4625522.69</f>
        <v>4625522.6900000004</v>
      </c>
      <c r="F23" s="51">
        <f>24973.75</f>
        <v>24973.75</v>
      </c>
      <c r="G23" s="51">
        <f>1073213.32</f>
        <v>1073213.32</v>
      </c>
      <c r="H23" s="51">
        <f>3471.15</f>
        <v>3471.15</v>
      </c>
      <c r="I23" s="51">
        <f>0</f>
        <v>0</v>
      </c>
      <c r="J23" s="51">
        <f>0</f>
        <v>0</v>
      </c>
      <c r="K23" s="51">
        <f>0</f>
        <v>0</v>
      </c>
      <c r="L23" s="51">
        <f>108307.17</f>
        <v>108307.17</v>
      </c>
      <c r="M23" s="51">
        <f>75705.8</f>
        <v>75705.8</v>
      </c>
      <c r="N23" s="51">
        <f>0</f>
        <v>0</v>
      </c>
      <c r="O23" s="51">
        <f>0</f>
        <v>0</v>
      </c>
      <c r="P23" s="51">
        <f>0</f>
        <v>0</v>
      </c>
      <c r="Q23" s="51">
        <f>0</f>
        <v>0</v>
      </c>
    </row>
    <row r="24" spans="1:17" ht="19.5" customHeight="1" x14ac:dyDescent="0.2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9.5" customHeight="1" x14ac:dyDescent="0.2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9.5" customHeight="1" x14ac:dyDescent="0.2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45.75" customHeight="1" x14ac:dyDescent="0.2">
      <c r="A27" s="60" t="str">
        <f>CONCATENATE("Informacja z wykonania budżetów powiatów za   ",$C$90," ",$B$91," roku    ",$B$93,"")</f>
        <v xml:space="preserve">Informacja z wykonania budżetów powiatów za   II Kwartały 2023 roku    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</row>
    <row r="29" spans="1:17" ht="13.5" customHeight="1" x14ac:dyDescent="0.2">
      <c r="A29" s="70" t="s">
        <v>52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1" spans="1:17" ht="13.5" customHeight="1" x14ac:dyDescent="0.2">
      <c r="A31" s="103" t="s">
        <v>0</v>
      </c>
      <c r="B31" s="61" t="s">
        <v>53</v>
      </c>
      <c r="C31" s="106" t="s">
        <v>55</v>
      </c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8"/>
      <c r="O31" s="106" t="s">
        <v>73</v>
      </c>
      <c r="P31" s="107"/>
      <c r="Q31" s="108"/>
    </row>
    <row r="32" spans="1:17" ht="13.5" customHeight="1" x14ac:dyDescent="0.2">
      <c r="A32" s="104"/>
      <c r="B32" s="62"/>
      <c r="C32" s="62" t="s">
        <v>54</v>
      </c>
      <c r="D32" s="59" t="s">
        <v>57</v>
      </c>
      <c r="E32" s="59" t="s">
        <v>74</v>
      </c>
      <c r="F32" s="59" t="s">
        <v>75</v>
      </c>
      <c r="G32" s="59" t="s">
        <v>145</v>
      </c>
      <c r="H32" s="59" t="s">
        <v>77</v>
      </c>
      <c r="I32" s="59" t="s">
        <v>4</v>
      </c>
      <c r="J32" s="59" t="s">
        <v>59</v>
      </c>
      <c r="K32" s="59" t="s">
        <v>60</v>
      </c>
      <c r="L32" s="59" t="s">
        <v>61</v>
      </c>
      <c r="M32" s="59" t="s">
        <v>62</v>
      </c>
      <c r="N32" s="64" t="s">
        <v>63</v>
      </c>
      <c r="O32" s="59" t="s">
        <v>64</v>
      </c>
      <c r="P32" s="59" t="s">
        <v>65</v>
      </c>
      <c r="Q32" s="61" t="s">
        <v>66</v>
      </c>
    </row>
    <row r="33" spans="1:17" ht="13.5" customHeight="1" x14ac:dyDescent="0.2">
      <c r="A33" s="104"/>
      <c r="B33" s="62"/>
      <c r="C33" s="62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64"/>
      <c r="O33" s="59"/>
      <c r="P33" s="59"/>
      <c r="Q33" s="62"/>
    </row>
    <row r="34" spans="1:17" ht="11.25" customHeight="1" x14ac:dyDescent="0.2">
      <c r="A34" s="104"/>
      <c r="B34" s="62"/>
      <c r="C34" s="62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64"/>
      <c r="O34" s="59"/>
      <c r="P34" s="59"/>
      <c r="Q34" s="62"/>
    </row>
    <row r="35" spans="1:17" ht="41.25" customHeight="1" x14ac:dyDescent="0.2">
      <c r="A35" s="105"/>
      <c r="B35" s="63"/>
      <c r="C35" s="63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4"/>
      <c r="O35" s="59"/>
      <c r="P35" s="59"/>
      <c r="Q35" s="63"/>
    </row>
    <row r="36" spans="1:17" ht="15.75" customHeight="1" x14ac:dyDescent="0.2">
      <c r="A36" s="41">
        <v>1</v>
      </c>
      <c r="B36" s="41">
        <v>2</v>
      </c>
      <c r="C36" s="41">
        <v>3</v>
      </c>
      <c r="D36" s="41">
        <v>4</v>
      </c>
      <c r="E36" s="41">
        <v>5</v>
      </c>
      <c r="F36" s="41">
        <v>6</v>
      </c>
      <c r="G36" s="41">
        <v>7</v>
      </c>
      <c r="H36" s="41">
        <v>8</v>
      </c>
      <c r="I36" s="41">
        <v>9</v>
      </c>
      <c r="J36" s="41">
        <v>10</v>
      </c>
      <c r="K36" s="41">
        <v>11</v>
      </c>
      <c r="L36" s="41">
        <v>12</v>
      </c>
      <c r="M36" s="41">
        <v>13</v>
      </c>
      <c r="N36" s="41">
        <v>14</v>
      </c>
      <c r="O36" s="41">
        <v>15</v>
      </c>
      <c r="P36" s="41">
        <v>16</v>
      </c>
      <c r="Q36" s="41">
        <v>17</v>
      </c>
    </row>
    <row r="37" spans="1:17" ht="12" customHeight="1" x14ac:dyDescent="0.2">
      <c r="A37" s="41"/>
      <c r="B37" s="109" t="s">
        <v>152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8"/>
    </row>
    <row r="38" spans="1:17" ht="30" customHeight="1" x14ac:dyDescent="0.2">
      <c r="A38" s="54" t="s">
        <v>92</v>
      </c>
      <c r="B38" s="52">
        <f>77586</f>
        <v>77586</v>
      </c>
      <c r="C38" s="52">
        <f>77586</f>
        <v>77586</v>
      </c>
      <c r="D38" s="52">
        <f>50000</f>
        <v>50000</v>
      </c>
      <c r="E38" s="52">
        <f>50000</f>
        <v>50000</v>
      </c>
      <c r="F38" s="52">
        <f>0</f>
        <v>0</v>
      </c>
      <c r="G38" s="52">
        <f>0</f>
        <v>0</v>
      </c>
      <c r="H38" s="52">
        <f>0</f>
        <v>0</v>
      </c>
      <c r="I38" s="52">
        <f>0</f>
        <v>0</v>
      </c>
      <c r="J38" s="52">
        <f>0</f>
        <v>0</v>
      </c>
      <c r="K38" s="52">
        <f>0</f>
        <v>0</v>
      </c>
      <c r="L38" s="52">
        <f>8640</f>
        <v>8640</v>
      </c>
      <c r="M38" s="52">
        <f>18946</f>
        <v>18946</v>
      </c>
      <c r="N38" s="52">
        <f>0</f>
        <v>0</v>
      </c>
      <c r="O38" s="52">
        <f>0</f>
        <v>0</v>
      </c>
      <c r="P38" s="52">
        <f>0</f>
        <v>0</v>
      </c>
      <c r="Q38" s="52">
        <f>0</f>
        <v>0</v>
      </c>
    </row>
    <row r="39" spans="1:17" ht="25.5" customHeight="1" x14ac:dyDescent="0.2">
      <c r="A39" s="47" t="s">
        <v>80</v>
      </c>
      <c r="B39" s="53">
        <f>0</f>
        <v>0</v>
      </c>
      <c r="C39" s="53">
        <f>0</f>
        <v>0</v>
      </c>
      <c r="D39" s="53">
        <f>0</f>
        <v>0</v>
      </c>
      <c r="E39" s="53">
        <f>0</f>
        <v>0</v>
      </c>
      <c r="F39" s="53">
        <f>0</f>
        <v>0</v>
      </c>
      <c r="G39" s="53">
        <f>0</f>
        <v>0</v>
      </c>
      <c r="H39" s="53">
        <f>0</f>
        <v>0</v>
      </c>
      <c r="I39" s="53">
        <f>0</f>
        <v>0</v>
      </c>
      <c r="J39" s="53">
        <f>0</f>
        <v>0</v>
      </c>
      <c r="K39" s="53">
        <f>0</f>
        <v>0</v>
      </c>
      <c r="L39" s="53">
        <f>0</f>
        <v>0</v>
      </c>
      <c r="M39" s="53">
        <f>0</f>
        <v>0</v>
      </c>
      <c r="N39" s="53">
        <f>0</f>
        <v>0</v>
      </c>
      <c r="O39" s="53">
        <f>0</f>
        <v>0</v>
      </c>
      <c r="P39" s="53">
        <f>0</f>
        <v>0</v>
      </c>
      <c r="Q39" s="53">
        <f>0</f>
        <v>0</v>
      </c>
    </row>
    <row r="40" spans="1:17" ht="25.5" customHeight="1" x14ac:dyDescent="0.2">
      <c r="A40" s="47" t="s">
        <v>81</v>
      </c>
      <c r="B40" s="53">
        <f>77586</f>
        <v>77586</v>
      </c>
      <c r="C40" s="53">
        <f>77586</f>
        <v>77586</v>
      </c>
      <c r="D40" s="53">
        <f>50000</f>
        <v>50000</v>
      </c>
      <c r="E40" s="53">
        <f>50000</f>
        <v>50000</v>
      </c>
      <c r="F40" s="53">
        <f>0</f>
        <v>0</v>
      </c>
      <c r="G40" s="53">
        <f>0</f>
        <v>0</v>
      </c>
      <c r="H40" s="53">
        <f>0</f>
        <v>0</v>
      </c>
      <c r="I40" s="53">
        <f>0</f>
        <v>0</v>
      </c>
      <c r="J40" s="53">
        <f>0</f>
        <v>0</v>
      </c>
      <c r="K40" s="53">
        <f>0</f>
        <v>0</v>
      </c>
      <c r="L40" s="53">
        <f>8640</f>
        <v>8640</v>
      </c>
      <c r="M40" s="53">
        <f>18946</f>
        <v>18946</v>
      </c>
      <c r="N40" s="53">
        <f>0</f>
        <v>0</v>
      </c>
      <c r="O40" s="53">
        <f>0</f>
        <v>0</v>
      </c>
      <c r="P40" s="53">
        <f>0</f>
        <v>0</v>
      </c>
      <c r="Q40" s="53">
        <f>0</f>
        <v>0</v>
      </c>
    </row>
    <row r="41" spans="1:17" ht="30" customHeight="1" x14ac:dyDescent="0.2">
      <c r="A41" s="54" t="s">
        <v>93</v>
      </c>
      <c r="B41" s="52">
        <f>200993617.57</f>
        <v>200993617.56999999</v>
      </c>
      <c r="C41" s="52">
        <f>200993617.57</f>
        <v>200993617.56999999</v>
      </c>
      <c r="D41" s="52">
        <f>142471812.81</f>
        <v>142471812.81</v>
      </c>
      <c r="E41" s="52">
        <f>63452.61</f>
        <v>63452.61</v>
      </c>
      <c r="F41" s="52">
        <f>5908309.05</f>
        <v>5908309.0499999998</v>
      </c>
      <c r="G41" s="52">
        <f>136500051.15</f>
        <v>136500051.15000001</v>
      </c>
      <c r="H41" s="52">
        <f>0</f>
        <v>0</v>
      </c>
      <c r="I41" s="52">
        <f>0</f>
        <v>0</v>
      </c>
      <c r="J41" s="52">
        <f>0</f>
        <v>0</v>
      </c>
      <c r="K41" s="52">
        <f>0</f>
        <v>0</v>
      </c>
      <c r="L41" s="52">
        <f>44377069.91</f>
        <v>44377069.909999996</v>
      </c>
      <c r="M41" s="52">
        <f>12471840.2</f>
        <v>12471840.199999999</v>
      </c>
      <c r="N41" s="52">
        <f>1672894.65</f>
        <v>1672894.65</v>
      </c>
      <c r="O41" s="52">
        <f>0</f>
        <v>0</v>
      </c>
      <c r="P41" s="52">
        <f>0</f>
        <v>0</v>
      </c>
      <c r="Q41" s="52">
        <f>0</f>
        <v>0</v>
      </c>
    </row>
    <row r="42" spans="1:17" ht="25.5" customHeight="1" x14ac:dyDescent="0.2">
      <c r="A42" s="47" t="s">
        <v>82</v>
      </c>
      <c r="B42" s="53">
        <f>52994676.06</f>
        <v>52994676.060000002</v>
      </c>
      <c r="C42" s="53">
        <f>52994676.06</f>
        <v>52994676.060000002</v>
      </c>
      <c r="D42" s="53">
        <f>39330340.07</f>
        <v>39330340.07</v>
      </c>
      <c r="E42" s="53">
        <f>0</f>
        <v>0</v>
      </c>
      <c r="F42" s="53">
        <f>4355000</f>
        <v>4355000</v>
      </c>
      <c r="G42" s="53">
        <f>34975340.07</f>
        <v>34975340.07</v>
      </c>
      <c r="H42" s="53">
        <f>0</f>
        <v>0</v>
      </c>
      <c r="I42" s="53">
        <f>0</f>
        <v>0</v>
      </c>
      <c r="J42" s="53">
        <f>0</f>
        <v>0</v>
      </c>
      <c r="K42" s="53">
        <f>0</f>
        <v>0</v>
      </c>
      <c r="L42" s="53">
        <f>11297736.01</f>
        <v>11297736.01</v>
      </c>
      <c r="M42" s="53">
        <f>1576755.02</f>
        <v>1576755.02</v>
      </c>
      <c r="N42" s="53">
        <f>789844.96</f>
        <v>789844.96</v>
      </c>
      <c r="O42" s="53">
        <f>0</f>
        <v>0</v>
      </c>
      <c r="P42" s="53">
        <f>0</f>
        <v>0</v>
      </c>
      <c r="Q42" s="53">
        <f>0</f>
        <v>0</v>
      </c>
    </row>
    <row r="43" spans="1:17" ht="25.5" customHeight="1" x14ac:dyDescent="0.2">
      <c r="A43" s="47" t="s">
        <v>83</v>
      </c>
      <c r="B43" s="53">
        <f>147998941.51</f>
        <v>147998941.50999999</v>
      </c>
      <c r="C43" s="53">
        <f>147998941.51</f>
        <v>147998941.50999999</v>
      </c>
      <c r="D43" s="53">
        <f>103141472.74</f>
        <v>103141472.73999999</v>
      </c>
      <c r="E43" s="53">
        <f>63452.61</f>
        <v>63452.61</v>
      </c>
      <c r="F43" s="53">
        <f>1553309.05</f>
        <v>1553309.05</v>
      </c>
      <c r="G43" s="53">
        <f>101524711.08</f>
        <v>101524711.08</v>
      </c>
      <c r="H43" s="53">
        <f>0</f>
        <v>0</v>
      </c>
      <c r="I43" s="53">
        <f>0</f>
        <v>0</v>
      </c>
      <c r="J43" s="53">
        <f>0</f>
        <v>0</v>
      </c>
      <c r="K43" s="53">
        <f>0</f>
        <v>0</v>
      </c>
      <c r="L43" s="53">
        <f>33079333.9</f>
        <v>33079333.899999999</v>
      </c>
      <c r="M43" s="53">
        <f>10895085.18</f>
        <v>10895085.18</v>
      </c>
      <c r="N43" s="53">
        <f>883049.69</f>
        <v>883049.69</v>
      </c>
      <c r="O43" s="53">
        <f>0</f>
        <v>0</v>
      </c>
      <c r="P43" s="53">
        <f>0</f>
        <v>0</v>
      </c>
      <c r="Q43" s="53">
        <f>0</f>
        <v>0</v>
      </c>
    </row>
    <row r="44" spans="1:17" ht="30" customHeight="1" x14ac:dyDescent="0.2">
      <c r="A44" s="54" t="s">
        <v>94</v>
      </c>
      <c r="B44" s="52">
        <f>7127252653.44</f>
        <v>7127252653.4399996</v>
      </c>
      <c r="C44" s="52">
        <f>7127252653.44</f>
        <v>7127252653.4399996</v>
      </c>
      <c r="D44" s="52">
        <f>2552090.34</f>
        <v>2552090.34</v>
      </c>
      <c r="E44" s="52">
        <f>21081.12</f>
        <v>21081.119999999999</v>
      </c>
      <c r="F44" s="52">
        <f>263</f>
        <v>263</v>
      </c>
      <c r="G44" s="52">
        <f>2530746.22</f>
        <v>2530746.2200000002</v>
      </c>
      <c r="H44" s="52">
        <f>0</f>
        <v>0</v>
      </c>
      <c r="I44" s="52">
        <f>4394632.24</f>
        <v>4394632.24</v>
      </c>
      <c r="J44" s="52">
        <f>7120087219.11</f>
        <v>7120087219.1099997</v>
      </c>
      <c r="K44" s="52">
        <f>77889.98</f>
        <v>77889.98</v>
      </c>
      <c r="L44" s="52">
        <f>44538.65</f>
        <v>44538.65</v>
      </c>
      <c r="M44" s="52">
        <f>2000</f>
        <v>2000</v>
      </c>
      <c r="N44" s="52">
        <f>94283.12</f>
        <v>94283.12</v>
      </c>
      <c r="O44" s="52">
        <f>0</f>
        <v>0</v>
      </c>
      <c r="P44" s="52">
        <f>0</f>
        <v>0</v>
      </c>
      <c r="Q44" s="52">
        <f>0</f>
        <v>0</v>
      </c>
    </row>
    <row r="45" spans="1:17" ht="25.5" customHeight="1" x14ac:dyDescent="0.2">
      <c r="A45" s="47" t="s">
        <v>84</v>
      </c>
      <c r="B45" s="53">
        <f>2528264.35</f>
        <v>2528264.35</v>
      </c>
      <c r="C45" s="53">
        <f>2528264.35</f>
        <v>2528264.35</v>
      </c>
      <c r="D45" s="53">
        <f>2528264.35</f>
        <v>2528264.35</v>
      </c>
      <c r="E45" s="53">
        <f>0</f>
        <v>0</v>
      </c>
      <c r="F45" s="53">
        <f>0</f>
        <v>0</v>
      </c>
      <c r="G45" s="53">
        <f>2528264.35</f>
        <v>2528264.35</v>
      </c>
      <c r="H45" s="53">
        <f>0</f>
        <v>0</v>
      </c>
      <c r="I45" s="53">
        <f>0</f>
        <v>0</v>
      </c>
      <c r="J45" s="53">
        <f>0</f>
        <v>0</v>
      </c>
      <c r="K45" s="53">
        <f>0</f>
        <v>0</v>
      </c>
      <c r="L45" s="53">
        <f>0</f>
        <v>0</v>
      </c>
      <c r="M45" s="53">
        <f>0</f>
        <v>0</v>
      </c>
      <c r="N45" s="53">
        <f>0</f>
        <v>0</v>
      </c>
      <c r="O45" s="53">
        <f>0</f>
        <v>0</v>
      </c>
      <c r="P45" s="53">
        <f>0</f>
        <v>0</v>
      </c>
      <c r="Q45" s="53">
        <f>0</f>
        <v>0</v>
      </c>
    </row>
    <row r="46" spans="1:17" ht="25.5" customHeight="1" x14ac:dyDescent="0.2">
      <c r="A46" s="47" t="s">
        <v>85</v>
      </c>
      <c r="B46" s="53">
        <f>5858199998.24</f>
        <v>5858199998.2399998</v>
      </c>
      <c r="C46" s="53">
        <f>5858199998.24</f>
        <v>5858199998.2399998</v>
      </c>
      <c r="D46" s="53">
        <f>3049.59</f>
        <v>3049.59</v>
      </c>
      <c r="E46" s="53">
        <f>1742.59</f>
        <v>1742.59</v>
      </c>
      <c r="F46" s="53">
        <f>263</f>
        <v>263</v>
      </c>
      <c r="G46" s="53">
        <f>1044</f>
        <v>1044</v>
      </c>
      <c r="H46" s="53">
        <f>0</f>
        <v>0</v>
      </c>
      <c r="I46" s="53">
        <f>4394632.24</f>
        <v>4394632.24</v>
      </c>
      <c r="J46" s="53">
        <f>5853621272.33</f>
        <v>5853621272.3299999</v>
      </c>
      <c r="K46" s="53">
        <f>71984.58</f>
        <v>71984.58</v>
      </c>
      <c r="L46" s="53">
        <f>14776.38</f>
        <v>14776.38</v>
      </c>
      <c r="M46" s="53">
        <f>0</f>
        <v>0</v>
      </c>
      <c r="N46" s="53">
        <f>94283.12</f>
        <v>94283.12</v>
      </c>
      <c r="O46" s="53">
        <f>0</f>
        <v>0</v>
      </c>
      <c r="P46" s="53">
        <f>0</f>
        <v>0</v>
      </c>
      <c r="Q46" s="53">
        <f>0</f>
        <v>0</v>
      </c>
    </row>
    <row r="47" spans="1:17" ht="25.5" customHeight="1" x14ac:dyDescent="0.2">
      <c r="A47" s="47" t="s">
        <v>86</v>
      </c>
      <c r="B47" s="53">
        <f>1266524390.85</f>
        <v>1266524390.8499999</v>
      </c>
      <c r="C47" s="53">
        <f>1266524390.85</f>
        <v>1266524390.8499999</v>
      </c>
      <c r="D47" s="53">
        <f>20776.4</f>
        <v>20776.400000000001</v>
      </c>
      <c r="E47" s="53">
        <f>19338.53</f>
        <v>19338.53</v>
      </c>
      <c r="F47" s="53">
        <f>0</f>
        <v>0</v>
      </c>
      <c r="G47" s="53">
        <f>1437.87</f>
        <v>1437.87</v>
      </c>
      <c r="H47" s="53">
        <f>0</f>
        <v>0</v>
      </c>
      <c r="I47" s="53">
        <f>0</f>
        <v>0</v>
      </c>
      <c r="J47" s="53">
        <f>1266465946.78</f>
        <v>1266465946.78</v>
      </c>
      <c r="K47" s="53">
        <f>5905.4</f>
        <v>5905.4</v>
      </c>
      <c r="L47" s="53">
        <f>29762.27</f>
        <v>29762.27</v>
      </c>
      <c r="M47" s="53">
        <f>2000</f>
        <v>2000</v>
      </c>
      <c r="N47" s="53">
        <f>0</f>
        <v>0</v>
      </c>
      <c r="O47" s="53">
        <f>0</f>
        <v>0</v>
      </c>
      <c r="P47" s="53">
        <f>0</f>
        <v>0</v>
      </c>
      <c r="Q47" s="53">
        <f>0</f>
        <v>0</v>
      </c>
    </row>
    <row r="48" spans="1:17" ht="30" customHeight="1" x14ac:dyDescent="0.2">
      <c r="A48" s="54" t="s">
        <v>95</v>
      </c>
      <c r="B48" s="52">
        <f>798022991.25</f>
        <v>798022991.25</v>
      </c>
      <c r="C48" s="52">
        <f>797219986.59</f>
        <v>797219986.59000003</v>
      </c>
      <c r="D48" s="52">
        <f>24091625.3</f>
        <v>24091625.300000001</v>
      </c>
      <c r="E48" s="52">
        <f>8297262.62</f>
        <v>8297262.6200000001</v>
      </c>
      <c r="F48" s="52">
        <f>354382.58</f>
        <v>354382.58</v>
      </c>
      <c r="G48" s="52">
        <f>15423441.45</f>
        <v>15423441.449999999</v>
      </c>
      <c r="H48" s="52">
        <f>16538.65</f>
        <v>16538.650000000001</v>
      </c>
      <c r="I48" s="52">
        <f>0</f>
        <v>0</v>
      </c>
      <c r="J48" s="52">
        <f>4062913.82</f>
        <v>4062913.82</v>
      </c>
      <c r="K48" s="52">
        <f>647959.06</f>
        <v>647959.06000000006</v>
      </c>
      <c r="L48" s="52">
        <f>236513492.87</f>
        <v>236513492.87</v>
      </c>
      <c r="M48" s="52">
        <f>528579974.65</f>
        <v>528579974.64999998</v>
      </c>
      <c r="N48" s="52">
        <f>3324020.89</f>
        <v>3324020.89</v>
      </c>
      <c r="O48" s="52">
        <f>803004.66</f>
        <v>803004.66</v>
      </c>
      <c r="P48" s="52">
        <f>257116.8</f>
        <v>257116.79999999999</v>
      </c>
      <c r="Q48" s="52">
        <f>545887.86</f>
        <v>545887.86</v>
      </c>
    </row>
    <row r="49" spans="1:17" ht="25.5" customHeight="1" x14ac:dyDescent="0.2">
      <c r="A49" s="47" t="s">
        <v>87</v>
      </c>
      <c r="B49" s="53">
        <f>164342109.99</f>
        <v>164342109.99000001</v>
      </c>
      <c r="C49" s="53">
        <f>164323706.98</f>
        <v>164323706.97999999</v>
      </c>
      <c r="D49" s="53">
        <f>2553070.62</f>
        <v>2553070.62</v>
      </c>
      <c r="E49" s="53">
        <f>28654.87</f>
        <v>28654.87</v>
      </c>
      <c r="F49" s="53">
        <f>317689.24</f>
        <v>317689.24</v>
      </c>
      <c r="G49" s="53">
        <f>2202492.51</f>
        <v>2202492.5099999998</v>
      </c>
      <c r="H49" s="53">
        <f>4234</f>
        <v>4234</v>
      </c>
      <c r="I49" s="53">
        <f>0</f>
        <v>0</v>
      </c>
      <c r="J49" s="53">
        <f>1024030.83</f>
        <v>1024030.83</v>
      </c>
      <c r="K49" s="53">
        <f>296359.42</f>
        <v>296359.42</v>
      </c>
      <c r="L49" s="53">
        <f>67201632.7</f>
        <v>67201632.700000003</v>
      </c>
      <c r="M49" s="53">
        <f>92082404.14</f>
        <v>92082404.140000001</v>
      </c>
      <c r="N49" s="53">
        <f>1166209.27</f>
        <v>1166209.27</v>
      </c>
      <c r="O49" s="53">
        <f>18403.01</f>
        <v>18403.009999999998</v>
      </c>
      <c r="P49" s="53">
        <f>18403.01</f>
        <v>18403.009999999998</v>
      </c>
      <c r="Q49" s="53">
        <f>0</f>
        <v>0</v>
      </c>
    </row>
    <row r="50" spans="1:17" ht="25.5" customHeight="1" x14ac:dyDescent="0.2">
      <c r="A50" s="47" t="s">
        <v>88</v>
      </c>
      <c r="B50" s="53">
        <f>633680881.26</f>
        <v>633680881.25999999</v>
      </c>
      <c r="C50" s="53">
        <f>632896279.61</f>
        <v>632896279.61000001</v>
      </c>
      <c r="D50" s="53">
        <f>21538554.68</f>
        <v>21538554.68</v>
      </c>
      <c r="E50" s="53">
        <f>8268607.75</f>
        <v>8268607.75</v>
      </c>
      <c r="F50" s="53">
        <f>36693.34</f>
        <v>36693.339999999997</v>
      </c>
      <c r="G50" s="53">
        <f>13220948.94</f>
        <v>13220948.939999999</v>
      </c>
      <c r="H50" s="53">
        <f>12304.65</f>
        <v>12304.65</v>
      </c>
      <c r="I50" s="53">
        <f>0</f>
        <v>0</v>
      </c>
      <c r="J50" s="53">
        <f>3038882.99</f>
        <v>3038882.99</v>
      </c>
      <c r="K50" s="53">
        <f>351599.64</f>
        <v>351599.64</v>
      </c>
      <c r="L50" s="53">
        <f>169311860.17</f>
        <v>169311860.16999999</v>
      </c>
      <c r="M50" s="53">
        <f>436497570.51</f>
        <v>436497570.50999999</v>
      </c>
      <c r="N50" s="53">
        <f>2157811.62</f>
        <v>2157811.62</v>
      </c>
      <c r="O50" s="53">
        <f>784601.65</f>
        <v>784601.65</v>
      </c>
      <c r="P50" s="53">
        <f>238713.79</f>
        <v>238713.79</v>
      </c>
      <c r="Q50" s="53">
        <f>545887.86</f>
        <v>545887.86</v>
      </c>
    </row>
    <row r="51" spans="1:17" ht="30" customHeight="1" x14ac:dyDescent="0.2">
      <c r="A51" s="54" t="s">
        <v>96</v>
      </c>
      <c r="B51" s="52">
        <f>718943213.7</f>
        <v>718943213.70000005</v>
      </c>
      <c r="C51" s="52">
        <f>718826445.65</f>
        <v>718826445.64999998</v>
      </c>
      <c r="D51" s="52">
        <f>227826350.41</f>
        <v>227826350.41</v>
      </c>
      <c r="E51" s="52">
        <f>25684027.99</f>
        <v>25684027.989999998</v>
      </c>
      <c r="F51" s="52">
        <f>1904993.61</f>
        <v>1904993.61</v>
      </c>
      <c r="G51" s="52">
        <f>191010687.7</f>
        <v>191010687.69999999</v>
      </c>
      <c r="H51" s="52">
        <f>9226641.11</f>
        <v>9226641.1099999994</v>
      </c>
      <c r="I51" s="52">
        <f>0</f>
        <v>0</v>
      </c>
      <c r="J51" s="52">
        <f>574968.33</f>
        <v>574968.32999999996</v>
      </c>
      <c r="K51" s="52">
        <f>389220.57</f>
        <v>389220.57</v>
      </c>
      <c r="L51" s="52">
        <f>387686250.8</f>
        <v>387686250.80000001</v>
      </c>
      <c r="M51" s="52">
        <f>90911518.33</f>
        <v>90911518.329999998</v>
      </c>
      <c r="N51" s="52">
        <f>11438137.21</f>
        <v>11438137.210000001</v>
      </c>
      <c r="O51" s="52">
        <f>116768.05</f>
        <v>116768.05</v>
      </c>
      <c r="P51" s="52">
        <f>100060.65</f>
        <v>100060.65</v>
      </c>
      <c r="Q51" s="52">
        <f>16707.4</f>
        <v>16707.400000000001</v>
      </c>
    </row>
    <row r="52" spans="1:17" ht="31.5" customHeight="1" x14ac:dyDescent="0.2">
      <c r="A52" s="47" t="s">
        <v>89</v>
      </c>
      <c r="B52" s="53">
        <f>81622393.22</f>
        <v>81622393.219999999</v>
      </c>
      <c r="C52" s="53">
        <f>81522332.57</f>
        <v>81522332.569999993</v>
      </c>
      <c r="D52" s="53">
        <f>34007204.55</f>
        <v>34007204.549999997</v>
      </c>
      <c r="E52" s="53">
        <f>1353062.53</f>
        <v>1353062.53</v>
      </c>
      <c r="F52" s="53">
        <f>292188.1</f>
        <v>292188.09999999998</v>
      </c>
      <c r="G52" s="53">
        <f>29899541.89</f>
        <v>29899541.890000001</v>
      </c>
      <c r="H52" s="53">
        <f>2462412.03</f>
        <v>2462412.0299999998</v>
      </c>
      <c r="I52" s="53">
        <f>0</f>
        <v>0</v>
      </c>
      <c r="J52" s="53">
        <f>469241.12</f>
        <v>469241.12</v>
      </c>
      <c r="K52" s="53">
        <f>153332.88</f>
        <v>153332.88</v>
      </c>
      <c r="L52" s="53">
        <f>25728848.13</f>
        <v>25728848.129999999</v>
      </c>
      <c r="M52" s="53">
        <f>20095791.26</f>
        <v>20095791.260000002</v>
      </c>
      <c r="N52" s="53">
        <f>1067914.63</f>
        <v>1067914.6299999999</v>
      </c>
      <c r="O52" s="53">
        <f>100060.65</f>
        <v>100060.65</v>
      </c>
      <c r="P52" s="53">
        <f>100060.65</f>
        <v>100060.65</v>
      </c>
      <c r="Q52" s="53">
        <f>0</f>
        <v>0</v>
      </c>
    </row>
    <row r="53" spans="1:17" ht="35.25" customHeight="1" x14ac:dyDescent="0.2">
      <c r="A53" s="47" t="s">
        <v>156</v>
      </c>
      <c r="B53" s="53">
        <f>4900497.35</f>
        <v>4900497.3499999996</v>
      </c>
      <c r="C53" s="53">
        <f>4900497.35</f>
        <v>4900497.3499999996</v>
      </c>
      <c r="D53" s="53">
        <f>4859648.24</f>
        <v>4859648.24</v>
      </c>
      <c r="E53" s="53">
        <f>416558.89</f>
        <v>416558.89</v>
      </c>
      <c r="F53" s="53">
        <f>4033.55</f>
        <v>4033.55</v>
      </c>
      <c r="G53" s="53">
        <f>4192868.48</f>
        <v>4192868.48</v>
      </c>
      <c r="H53" s="53">
        <f>246187.32</f>
        <v>246187.32</v>
      </c>
      <c r="I53" s="53">
        <f>0</f>
        <v>0</v>
      </c>
      <c r="J53" s="53">
        <f>0</f>
        <v>0</v>
      </c>
      <c r="K53" s="53">
        <f>24478.92</f>
        <v>24478.92</v>
      </c>
      <c r="L53" s="53">
        <f>2167.97</f>
        <v>2167.9699999999998</v>
      </c>
      <c r="M53" s="53">
        <f>13032.51</f>
        <v>13032.51</v>
      </c>
      <c r="N53" s="53">
        <f>1169.71</f>
        <v>1169.71</v>
      </c>
      <c r="O53" s="53">
        <f>0</f>
        <v>0</v>
      </c>
      <c r="P53" s="53">
        <f>0</f>
        <v>0</v>
      </c>
      <c r="Q53" s="53">
        <f>0</f>
        <v>0</v>
      </c>
    </row>
    <row r="54" spans="1:17" ht="31.5" customHeight="1" x14ac:dyDescent="0.2">
      <c r="A54" s="47" t="s">
        <v>91</v>
      </c>
      <c r="B54" s="53">
        <f>632420323.13</f>
        <v>632420323.13</v>
      </c>
      <c r="C54" s="53">
        <f>632403615.73</f>
        <v>632403615.73000002</v>
      </c>
      <c r="D54" s="53">
        <f>188959497.62</f>
        <v>188959497.62</v>
      </c>
      <c r="E54" s="53">
        <f>23914406.57</f>
        <v>23914406.57</v>
      </c>
      <c r="F54" s="53">
        <f>1608771.96</f>
        <v>1608771.96</v>
      </c>
      <c r="G54" s="53">
        <f>156918277.33</f>
        <v>156918277.33000001</v>
      </c>
      <c r="H54" s="53">
        <f>6518041.76</f>
        <v>6518041.7599999998</v>
      </c>
      <c r="I54" s="53">
        <f>0</f>
        <v>0</v>
      </c>
      <c r="J54" s="53">
        <f>105727.21</f>
        <v>105727.21</v>
      </c>
      <c r="K54" s="53">
        <f>211408.77</f>
        <v>211408.77</v>
      </c>
      <c r="L54" s="53">
        <f>361955234.7</f>
        <v>361955234.69999999</v>
      </c>
      <c r="M54" s="53">
        <f>70802694.56</f>
        <v>70802694.560000002</v>
      </c>
      <c r="N54" s="53">
        <f>10369052.87</f>
        <v>10369052.869999999</v>
      </c>
      <c r="O54" s="53">
        <f>16707.4</f>
        <v>16707.400000000001</v>
      </c>
      <c r="P54" s="53">
        <f>0</f>
        <v>0</v>
      </c>
      <c r="Q54" s="53">
        <f>16707.4</f>
        <v>16707.400000000001</v>
      </c>
    </row>
    <row r="63" spans="1:17" ht="66" customHeight="1" x14ac:dyDescent="0.2">
      <c r="A63" s="60" t="str">
        <f>CONCATENATE("Informacja z wykonania budżetów powiatów za   ",$C$90," ",$B$91," roku    ",$B$93,"")</f>
        <v xml:space="preserve">Informacja z wykonania budżetów powiatów za   II Kwartały 2023 roku    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</row>
    <row r="64" spans="1:17" ht="13.5" customHeight="1" x14ac:dyDescent="0.2">
      <c r="B64" s="70" t="s">
        <v>5</v>
      </c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6" spans="2:12" ht="13.5" customHeight="1" x14ac:dyDescent="0.2">
      <c r="B66" s="74" t="s">
        <v>0</v>
      </c>
      <c r="C66" s="75"/>
      <c r="D66" s="75"/>
      <c r="E66" s="76"/>
      <c r="F66" s="96" t="s">
        <v>143</v>
      </c>
      <c r="G66" s="71" t="s">
        <v>150</v>
      </c>
      <c r="H66" s="85"/>
      <c r="I66" s="85"/>
      <c r="J66" s="85"/>
      <c r="K66" s="85"/>
      <c r="L66" s="72"/>
    </row>
    <row r="67" spans="2:12" ht="13.5" customHeight="1" x14ac:dyDescent="0.2">
      <c r="B67" s="77"/>
      <c r="C67" s="78"/>
      <c r="D67" s="78"/>
      <c r="E67" s="79"/>
      <c r="F67" s="97"/>
      <c r="G67" s="99" t="s">
        <v>144</v>
      </c>
      <c r="H67" s="73" t="s">
        <v>140</v>
      </c>
      <c r="I67" s="73" t="s">
        <v>141</v>
      </c>
      <c r="J67" s="73" t="s">
        <v>145</v>
      </c>
      <c r="K67" s="73" t="s">
        <v>146</v>
      </c>
      <c r="L67" s="114" t="s">
        <v>147</v>
      </c>
    </row>
    <row r="68" spans="2:12" ht="13.5" customHeight="1" x14ac:dyDescent="0.2">
      <c r="B68" s="77"/>
      <c r="C68" s="78"/>
      <c r="D68" s="78"/>
      <c r="E68" s="79"/>
      <c r="F68" s="97"/>
      <c r="G68" s="99"/>
      <c r="H68" s="73"/>
      <c r="I68" s="73"/>
      <c r="J68" s="73"/>
      <c r="K68" s="73"/>
      <c r="L68" s="114"/>
    </row>
    <row r="69" spans="2:12" ht="11.25" customHeight="1" x14ac:dyDescent="0.2">
      <c r="B69" s="77"/>
      <c r="C69" s="78"/>
      <c r="D69" s="78"/>
      <c r="E69" s="79"/>
      <c r="F69" s="97"/>
      <c r="G69" s="99"/>
      <c r="H69" s="73"/>
      <c r="I69" s="73"/>
      <c r="J69" s="73"/>
      <c r="K69" s="73"/>
      <c r="L69" s="114"/>
    </row>
    <row r="70" spans="2:12" ht="11.25" customHeight="1" x14ac:dyDescent="0.2">
      <c r="B70" s="80"/>
      <c r="C70" s="81"/>
      <c r="D70" s="81"/>
      <c r="E70" s="82"/>
      <c r="F70" s="98"/>
      <c r="G70" s="99"/>
      <c r="H70" s="73"/>
      <c r="I70" s="73"/>
      <c r="J70" s="73"/>
      <c r="K70" s="73"/>
      <c r="L70" s="114"/>
    </row>
    <row r="71" spans="2:12" ht="11.25" customHeight="1" x14ac:dyDescent="0.2">
      <c r="B71" s="73">
        <v>1</v>
      </c>
      <c r="C71" s="73"/>
      <c r="D71" s="73"/>
      <c r="E71" s="73"/>
      <c r="F71" s="3">
        <v>2</v>
      </c>
      <c r="G71" s="3">
        <v>3</v>
      </c>
      <c r="H71" s="3">
        <v>4</v>
      </c>
      <c r="I71" s="3">
        <v>5</v>
      </c>
      <c r="J71" s="3">
        <v>6</v>
      </c>
      <c r="K71" s="3">
        <v>7</v>
      </c>
      <c r="L71" s="3">
        <v>8</v>
      </c>
    </row>
    <row r="72" spans="2:12" ht="12.75" customHeight="1" x14ac:dyDescent="0.2">
      <c r="B72" s="73"/>
      <c r="C72" s="73"/>
      <c r="D72" s="73"/>
      <c r="E72" s="73"/>
      <c r="F72" s="71" t="s">
        <v>152</v>
      </c>
      <c r="G72" s="112"/>
      <c r="H72" s="112"/>
      <c r="I72" s="112"/>
      <c r="J72" s="112"/>
      <c r="K72" s="112"/>
      <c r="L72" s="113"/>
    </row>
    <row r="73" spans="2:12" ht="33.75" customHeight="1" x14ac:dyDescent="0.2">
      <c r="B73" s="65" t="s">
        <v>121</v>
      </c>
      <c r="C73" s="66"/>
      <c r="D73" s="66"/>
      <c r="E73" s="67"/>
      <c r="F73" s="55">
        <f>537754616.1</f>
        <v>537754616.10000002</v>
      </c>
      <c r="G73" s="55">
        <f>291613931.91</f>
        <v>291613931.91000003</v>
      </c>
      <c r="H73" s="55">
        <f>19418706.35</f>
        <v>19418706.350000001</v>
      </c>
      <c r="I73" s="55">
        <f>37875021.63</f>
        <v>37875021.630000003</v>
      </c>
      <c r="J73" s="55">
        <f>224523796.26</f>
        <v>224523796.25999999</v>
      </c>
      <c r="K73" s="55">
        <f>9796407.67</f>
        <v>9796407.6699999999</v>
      </c>
      <c r="L73" s="55">
        <f>246140684.19</f>
        <v>246140684.19</v>
      </c>
    </row>
    <row r="74" spans="2:12" ht="33.75" customHeight="1" x14ac:dyDescent="0.2">
      <c r="B74" s="65" t="s">
        <v>122</v>
      </c>
      <c r="C74" s="66"/>
      <c r="D74" s="66"/>
      <c r="E74" s="67"/>
      <c r="F74" s="55">
        <f>0</f>
        <v>0</v>
      </c>
      <c r="G74" s="55">
        <f>0</f>
        <v>0</v>
      </c>
      <c r="H74" s="55">
        <f>0</f>
        <v>0</v>
      </c>
      <c r="I74" s="55">
        <f>0</f>
        <v>0</v>
      </c>
      <c r="J74" s="55">
        <f>0</f>
        <v>0</v>
      </c>
      <c r="K74" s="55">
        <f>0</f>
        <v>0</v>
      </c>
      <c r="L74" s="55">
        <f>0</f>
        <v>0</v>
      </c>
    </row>
    <row r="75" spans="2:12" ht="33.75" customHeight="1" x14ac:dyDescent="0.2">
      <c r="B75" s="65" t="s">
        <v>123</v>
      </c>
      <c r="C75" s="66"/>
      <c r="D75" s="66"/>
      <c r="E75" s="67"/>
      <c r="F75" s="55">
        <f>30286967.05</f>
        <v>30286967.050000001</v>
      </c>
      <c r="G75" s="55">
        <f>3320943.09</f>
        <v>3320943.09</v>
      </c>
      <c r="H75" s="55">
        <f>0</f>
        <v>0</v>
      </c>
      <c r="I75" s="55">
        <f>0</f>
        <v>0</v>
      </c>
      <c r="J75" s="55">
        <f>3320943.09</f>
        <v>3320943.09</v>
      </c>
      <c r="K75" s="55">
        <f>0</f>
        <v>0</v>
      </c>
      <c r="L75" s="55">
        <f>26966023.96</f>
        <v>26966023.960000001</v>
      </c>
    </row>
    <row r="76" spans="2:12" ht="22.5" customHeight="1" x14ac:dyDescent="0.2">
      <c r="B76" s="65" t="s">
        <v>124</v>
      </c>
      <c r="C76" s="66"/>
      <c r="D76" s="66"/>
      <c r="E76" s="67"/>
      <c r="F76" s="55">
        <f>39462030.87</f>
        <v>39462030.869999997</v>
      </c>
      <c r="G76" s="55">
        <f>16594790.12</f>
        <v>16594790.119999999</v>
      </c>
      <c r="H76" s="55">
        <f>0</f>
        <v>0</v>
      </c>
      <c r="I76" s="55">
        <f>0</f>
        <v>0</v>
      </c>
      <c r="J76" s="55">
        <f>16594790.12</f>
        <v>16594790.119999999</v>
      </c>
      <c r="K76" s="55">
        <f>0</f>
        <v>0</v>
      </c>
      <c r="L76" s="55">
        <f>22867240.75</f>
        <v>22867240.75</v>
      </c>
    </row>
    <row r="77" spans="2:12" ht="33.75" customHeight="1" x14ac:dyDescent="0.2">
      <c r="B77" s="65" t="s">
        <v>125</v>
      </c>
      <c r="C77" s="66"/>
      <c r="D77" s="66"/>
      <c r="E77" s="67"/>
      <c r="F77" s="55">
        <f>10589753.92</f>
        <v>10589753.92</v>
      </c>
      <c r="G77" s="55">
        <f>10589753.92</f>
        <v>10589753.92</v>
      </c>
      <c r="H77" s="55">
        <f>0</f>
        <v>0</v>
      </c>
      <c r="I77" s="55">
        <f>0</f>
        <v>0</v>
      </c>
      <c r="J77" s="55">
        <f>10589753.92</f>
        <v>10589753.92</v>
      </c>
      <c r="K77" s="55">
        <f>0</f>
        <v>0</v>
      </c>
      <c r="L77" s="55">
        <f>0</f>
        <v>0</v>
      </c>
    </row>
    <row r="78" spans="2:12" ht="33.75" customHeight="1" x14ac:dyDescent="0.2">
      <c r="B78" s="65" t="s">
        <v>126</v>
      </c>
      <c r="C78" s="66"/>
      <c r="D78" s="66"/>
      <c r="E78" s="67"/>
      <c r="F78" s="55">
        <f>466666.5</f>
        <v>466666.5</v>
      </c>
      <c r="G78" s="55">
        <f>266666.5</f>
        <v>266666.5</v>
      </c>
      <c r="H78" s="55">
        <f>0</f>
        <v>0</v>
      </c>
      <c r="I78" s="55">
        <f>0</f>
        <v>0</v>
      </c>
      <c r="J78" s="55">
        <f>266666.5</f>
        <v>266666.5</v>
      </c>
      <c r="K78" s="55">
        <f>0</f>
        <v>0</v>
      </c>
      <c r="L78" s="55">
        <f>200000</f>
        <v>200000</v>
      </c>
    </row>
    <row r="79" spans="2:12" ht="22.5" customHeight="1" x14ac:dyDescent="0.2">
      <c r="B79" s="65" t="s">
        <v>127</v>
      </c>
      <c r="C79" s="66"/>
      <c r="D79" s="66"/>
      <c r="E79" s="67"/>
      <c r="F79" s="55">
        <f>0</f>
        <v>0</v>
      </c>
      <c r="G79" s="55">
        <f>0</f>
        <v>0</v>
      </c>
      <c r="H79" s="55">
        <f>0</f>
        <v>0</v>
      </c>
      <c r="I79" s="55">
        <f>0</f>
        <v>0</v>
      </c>
      <c r="J79" s="55">
        <f>0</f>
        <v>0</v>
      </c>
      <c r="K79" s="55">
        <f>0</f>
        <v>0</v>
      </c>
      <c r="L79" s="55">
        <f>0</f>
        <v>0</v>
      </c>
    </row>
    <row r="82" spans="1:13" ht="75" customHeight="1" x14ac:dyDescent="0.2">
      <c r="A82" s="60" t="str">
        <f>CONCATENATE("Informacja z wykonania budżetów powiatów za   ",$C$90," ",$B$91," roku    ",$B$93,"")</f>
        <v xml:space="preserve">Informacja z wykonania budżetów powiatów za   II Kwartały 2023 roku    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</row>
    <row r="83" spans="1:13" ht="13.5" customHeight="1" x14ac:dyDescent="0.2">
      <c r="B83" s="9"/>
    </row>
    <row r="84" spans="1:13" ht="13.5" customHeight="1" x14ac:dyDescent="0.2">
      <c r="B84" s="10"/>
      <c r="C84" s="71"/>
      <c r="D84" s="85"/>
      <c r="E84" s="85"/>
      <c r="F84" s="72"/>
      <c r="G84" s="71" t="s">
        <v>7</v>
      </c>
      <c r="H84" s="72"/>
      <c r="I84" s="71" t="s">
        <v>8</v>
      </c>
      <c r="J84" s="72"/>
      <c r="K84" s="10"/>
    </row>
    <row r="85" spans="1:13" ht="13.5" customHeight="1" x14ac:dyDescent="0.2">
      <c r="B85" s="11"/>
      <c r="C85" s="86" t="s">
        <v>23</v>
      </c>
      <c r="D85" s="87"/>
      <c r="E85" s="87"/>
      <c r="F85" s="88"/>
      <c r="G85" s="83">
        <f>229</f>
        <v>229</v>
      </c>
      <c r="H85" s="84"/>
      <c r="I85" s="68">
        <f>1290298354.86</f>
        <v>1290298354.8599999</v>
      </c>
      <c r="J85" s="69"/>
      <c r="K85" s="12"/>
    </row>
    <row r="86" spans="1:13" ht="13.5" customHeight="1" x14ac:dyDescent="0.2">
      <c r="B86" s="11"/>
      <c r="C86" s="89" t="s">
        <v>24</v>
      </c>
      <c r="D86" s="90"/>
      <c r="E86" s="90"/>
      <c r="F86" s="91"/>
      <c r="G86" s="92">
        <f>85</f>
        <v>85</v>
      </c>
      <c r="H86" s="93"/>
      <c r="I86" s="94">
        <f>-283483562.35</f>
        <v>-283483562.35000002</v>
      </c>
      <c r="J86" s="95"/>
      <c r="K86" s="12"/>
    </row>
    <row r="87" spans="1:13" ht="13.5" customHeight="1" x14ac:dyDescent="0.2">
      <c r="B87" s="11"/>
      <c r="C87" s="86" t="s">
        <v>25</v>
      </c>
      <c r="D87" s="87"/>
      <c r="E87" s="87"/>
      <c r="F87" s="88"/>
      <c r="G87" s="83">
        <f>0</f>
        <v>0</v>
      </c>
      <c r="H87" s="84"/>
      <c r="I87" s="68">
        <f>0</f>
        <v>0</v>
      </c>
      <c r="J87" s="69"/>
      <c r="K87" s="12"/>
    </row>
    <row r="90" spans="1:13" ht="13.5" customHeight="1" x14ac:dyDescent="0.2">
      <c r="A90" s="15" t="s">
        <v>26</v>
      </c>
      <c r="B90" s="15">
        <f>2</f>
        <v>2</v>
      </c>
      <c r="C90" s="15" t="str">
        <f>IF(B90=1,"I Kwartał",IF(B90=2,"II Kwartały",IF(B90=3,"III Kwartały",IF(B90=4,"IV Kwartały","-"))))</f>
        <v>II Kwartały</v>
      </c>
    </row>
    <row r="91" spans="1:13" ht="13.5" customHeight="1" x14ac:dyDescent="0.2">
      <c r="A91" s="15" t="s">
        <v>27</v>
      </c>
      <c r="B91" s="15">
        <f>2023</f>
        <v>2023</v>
      </c>
      <c r="C91" s="16"/>
    </row>
    <row r="92" spans="1:13" ht="13.5" customHeight="1" x14ac:dyDescent="0.2">
      <c r="A92" s="15" t="s">
        <v>28</v>
      </c>
      <c r="B92" s="17" t="str">
        <f>"Aug 14 2023 12:00AM"</f>
        <v>Aug 14 2023 12:00AM</v>
      </c>
      <c r="C92" s="16"/>
    </row>
    <row r="93" spans="1:13" ht="13.5" customHeight="1" x14ac:dyDescent="0.2">
      <c r="A93" s="43" t="s">
        <v>151</v>
      </c>
      <c r="B93" s="17" t="str">
        <f>""</f>
        <v/>
      </c>
    </row>
  </sheetData>
  <mergeCells count="79">
    <mergeCell ref="B12:Q12"/>
    <mergeCell ref="B37:Q37"/>
    <mergeCell ref="B71:E71"/>
    <mergeCell ref="F72:L72"/>
    <mergeCell ref="L67:L70"/>
    <mergeCell ref="F32:F35"/>
    <mergeCell ref="G32:G35"/>
    <mergeCell ref="H32:H35"/>
    <mergeCell ref="K32:K35"/>
    <mergeCell ref="I32:I35"/>
    <mergeCell ref="J32:J35"/>
    <mergeCell ref="A31:A35"/>
    <mergeCell ref="C32:C35"/>
    <mergeCell ref="E32:E35"/>
    <mergeCell ref="B31:B35"/>
    <mergeCell ref="K67:K70"/>
    <mergeCell ref="H67:H70"/>
    <mergeCell ref="I67:I70"/>
    <mergeCell ref="J67:J70"/>
    <mergeCell ref="Q7:Q10"/>
    <mergeCell ref="C31:N31"/>
    <mergeCell ref="L7:L10"/>
    <mergeCell ref="M7:M10"/>
    <mergeCell ref="N7:N10"/>
    <mergeCell ref="P7:P10"/>
    <mergeCell ref="A27:M27"/>
    <mergeCell ref="O31:Q31"/>
    <mergeCell ref="A29:M29"/>
    <mergeCell ref="G7:G10"/>
    <mergeCell ref="F7:F10"/>
    <mergeCell ref="I7:I10"/>
    <mergeCell ref="J7:J10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B77:E77"/>
    <mergeCell ref="B74:E74"/>
    <mergeCell ref="M32:M35"/>
    <mergeCell ref="B73:E73"/>
    <mergeCell ref="F66:F70"/>
    <mergeCell ref="G67:G70"/>
    <mergeCell ref="G66:L66"/>
    <mergeCell ref="G87:H87"/>
    <mergeCell ref="I87:J87"/>
    <mergeCell ref="C84:F84"/>
    <mergeCell ref="C85:F85"/>
    <mergeCell ref="C86:F86"/>
    <mergeCell ref="C87:F87"/>
    <mergeCell ref="G85:H85"/>
    <mergeCell ref="G84:H84"/>
    <mergeCell ref="G86:H86"/>
    <mergeCell ref="I86:J86"/>
    <mergeCell ref="B78:E78"/>
    <mergeCell ref="I85:J85"/>
    <mergeCell ref="B64:M64"/>
    <mergeCell ref="I84:J84"/>
    <mergeCell ref="B72:E72"/>
    <mergeCell ref="B66:E70"/>
    <mergeCell ref="B79:E79"/>
    <mergeCell ref="A82:M82"/>
    <mergeCell ref="B75:E75"/>
    <mergeCell ref="B76:E76"/>
    <mergeCell ref="O6:Q6"/>
    <mergeCell ref="O7:O10"/>
    <mergeCell ref="A63:M63"/>
    <mergeCell ref="L32:L35"/>
    <mergeCell ref="P32:P35"/>
    <mergeCell ref="Q32:Q35"/>
    <mergeCell ref="N32:N35"/>
    <mergeCell ref="O32:O35"/>
    <mergeCell ref="D32:D35"/>
    <mergeCell ref="H7:H10"/>
  </mergeCells>
  <phoneticPr fontId="5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6" max="16383" man="1"/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106"/>
  <sheetViews>
    <sheetView workbookViewId="0">
      <selection sqref="A1:M1"/>
    </sheetView>
  </sheetViews>
  <sheetFormatPr defaultRowHeight="13.5" customHeight="1" x14ac:dyDescent="0.2"/>
  <cols>
    <col min="1" max="1" width="32.28515625" style="2" customWidth="1"/>
    <col min="2" max="13" width="10.7109375" style="2" customWidth="1"/>
    <col min="14" max="16384" width="9.140625" style="2"/>
  </cols>
  <sheetData>
    <row r="1" spans="1:17" ht="75" customHeight="1" x14ac:dyDescent="0.2">
      <c r="A1" s="135" t="str">
        <f>CONCATENATE("Informacja z wykonania budżetów powiatów za ",$D$104," ",$C$105," roku")</f>
        <v>Informacja z wykonania budżetów powiatów za - 2023 roku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70" t="s">
        <v>134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5" spans="1:17" ht="13.5" customHeight="1" x14ac:dyDescent="0.2">
      <c r="A5" s="140" t="s">
        <v>0</v>
      </c>
      <c r="B5" s="71" t="s">
        <v>135</v>
      </c>
      <c r="C5" s="73" t="s">
        <v>139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1" t="s">
        <v>138</v>
      </c>
      <c r="P5" s="85"/>
      <c r="Q5" s="72"/>
    </row>
    <row r="6" spans="1:17" ht="13.5" customHeight="1" x14ac:dyDescent="0.2">
      <c r="A6" s="140"/>
      <c r="B6" s="71"/>
      <c r="C6" s="73" t="s">
        <v>136</v>
      </c>
      <c r="D6" s="73" t="s">
        <v>3</v>
      </c>
      <c r="E6" s="73" t="s">
        <v>140</v>
      </c>
      <c r="F6" s="73" t="s">
        <v>141</v>
      </c>
      <c r="G6" s="73" t="s">
        <v>76</v>
      </c>
      <c r="H6" s="73" t="s">
        <v>77</v>
      </c>
      <c r="I6" s="73" t="s">
        <v>137</v>
      </c>
      <c r="J6" s="73" t="s">
        <v>59</v>
      </c>
      <c r="K6" s="73" t="s">
        <v>60</v>
      </c>
      <c r="L6" s="73" t="s">
        <v>61</v>
      </c>
      <c r="M6" s="73" t="s">
        <v>62</v>
      </c>
      <c r="N6" s="155" t="s">
        <v>63</v>
      </c>
      <c r="O6" s="96" t="s">
        <v>64</v>
      </c>
      <c r="P6" s="152" t="s">
        <v>65</v>
      </c>
      <c r="Q6" s="117" t="s">
        <v>66</v>
      </c>
    </row>
    <row r="7" spans="1:17" ht="13.5" customHeight="1" x14ac:dyDescent="0.2">
      <c r="A7" s="140"/>
      <c r="B7" s="7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155"/>
      <c r="O7" s="97"/>
      <c r="P7" s="153"/>
      <c r="Q7" s="118"/>
    </row>
    <row r="8" spans="1:17" ht="13.5" customHeight="1" x14ac:dyDescent="0.2">
      <c r="A8" s="140"/>
      <c r="B8" s="7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155"/>
      <c r="O8" s="97"/>
      <c r="P8" s="153"/>
      <c r="Q8" s="118"/>
    </row>
    <row r="9" spans="1:17" ht="13.5" customHeight="1" x14ac:dyDescent="0.2">
      <c r="A9" s="140"/>
      <c r="B9" s="7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155"/>
      <c r="O9" s="97"/>
      <c r="P9" s="153"/>
      <c r="Q9" s="118"/>
    </row>
    <row r="10" spans="1:17" ht="22.5" customHeight="1" x14ac:dyDescent="0.2">
      <c r="A10" s="140"/>
      <c r="B10" s="7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155"/>
      <c r="O10" s="98"/>
      <c r="P10" s="154"/>
      <c r="Q10" s="119"/>
    </row>
    <row r="11" spans="1:17" ht="13.5" customHeight="1" x14ac:dyDescent="0.2">
      <c r="A11" s="7"/>
      <c r="B11" s="3" t="s">
        <v>21</v>
      </c>
      <c r="C11" s="5" t="s">
        <v>9</v>
      </c>
      <c r="D11" s="6" t="s">
        <v>10</v>
      </c>
      <c r="E11" s="5" t="s">
        <v>11</v>
      </c>
      <c r="F11" s="5" t="s">
        <v>12</v>
      </c>
      <c r="G11" s="5" t="s">
        <v>13</v>
      </c>
      <c r="H11" s="5" t="s">
        <v>58</v>
      </c>
      <c r="I11" s="5" t="s">
        <v>14</v>
      </c>
      <c r="J11" s="5" t="s">
        <v>15</v>
      </c>
      <c r="K11" s="5" t="s">
        <v>67</v>
      </c>
      <c r="L11" s="5" t="s">
        <v>68</v>
      </c>
      <c r="M11" s="5" t="s">
        <v>69</v>
      </c>
      <c r="N11" s="37" t="s">
        <v>70</v>
      </c>
      <c r="O11" s="5" t="s">
        <v>1</v>
      </c>
      <c r="P11" s="5" t="s">
        <v>71</v>
      </c>
      <c r="Q11" s="5" t="s">
        <v>72</v>
      </c>
    </row>
    <row r="12" spans="1:17" ht="13.5" customHeight="1" x14ac:dyDescent="0.2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3">
        <v>16</v>
      </c>
      <c r="Q12" s="3">
        <v>17</v>
      </c>
    </row>
    <row r="13" spans="1:17" ht="25.5" x14ac:dyDescent="0.2">
      <c r="A13" s="8" t="s">
        <v>107</v>
      </c>
      <c r="B13" s="141" t="s">
        <v>34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7" ht="22.5" customHeight="1" x14ac:dyDescent="0.2">
      <c r="A14" s="28" t="s">
        <v>108</v>
      </c>
      <c r="B14" s="116" t="s">
        <v>35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</row>
    <row r="15" spans="1:17" ht="13.5" customHeight="1" x14ac:dyDescent="0.2">
      <c r="A15" s="29" t="s">
        <v>109</v>
      </c>
      <c r="B15" s="115" t="s">
        <v>36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</row>
    <row r="16" spans="1:17" ht="12.75" x14ac:dyDescent="0.2">
      <c r="A16" s="29" t="s">
        <v>110</v>
      </c>
      <c r="B16" s="116" t="s">
        <v>118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</row>
    <row r="17" spans="1:17" ht="36" customHeight="1" x14ac:dyDescent="0.2">
      <c r="A17" s="30" t="s">
        <v>111</v>
      </c>
      <c r="B17" s="115" t="s">
        <v>37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</row>
    <row r="18" spans="1:17" ht="13.5" customHeight="1" x14ac:dyDescent="0.2">
      <c r="A18" s="31" t="s">
        <v>112</v>
      </c>
      <c r="B18" s="116" t="s">
        <v>38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</row>
    <row r="19" spans="1:17" ht="12.75" x14ac:dyDescent="0.2">
      <c r="A19" s="32" t="s">
        <v>113</v>
      </c>
      <c r="B19" s="115" t="s">
        <v>119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</row>
    <row r="20" spans="1:17" ht="12.75" x14ac:dyDescent="0.2">
      <c r="A20" s="33" t="s">
        <v>114</v>
      </c>
      <c r="B20" s="116" t="s">
        <v>39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</row>
    <row r="21" spans="1:17" ht="30.75" customHeight="1" x14ac:dyDescent="0.2">
      <c r="A21" s="28" t="s">
        <v>115</v>
      </c>
      <c r="B21" s="116" t="s">
        <v>40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</row>
    <row r="22" spans="1:17" ht="13.5" customHeight="1" x14ac:dyDescent="0.2">
      <c r="A22" s="32" t="s">
        <v>116</v>
      </c>
      <c r="B22" s="116" t="s">
        <v>41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</row>
    <row r="23" spans="1:17" ht="13.5" customHeight="1" thickBot="1" x14ac:dyDescent="0.25">
      <c r="A23" s="34" t="s">
        <v>117</v>
      </c>
      <c r="B23" s="116" t="s">
        <v>120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</row>
    <row r="32" spans="1:17" ht="75" customHeight="1" x14ac:dyDescent="0.2">
      <c r="A32" s="135" t="str">
        <f>CONCATENATE("Informacja z wykonania budżetów powiatów za  ",$D$104," ",$C$105," roku")</f>
        <v>Informacja z wykonania budżetów powiatów za  - 2023 roku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</row>
    <row r="33" spans="1:17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7" ht="13.5" customHeight="1" x14ac:dyDescent="0.2">
      <c r="A34" s="70" t="s">
        <v>52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6" spans="1:17" ht="13.5" customHeight="1" x14ac:dyDescent="0.2">
      <c r="A36" s="136" t="s">
        <v>0</v>
      </c>
      <c r="B36" s="137" t="s">
        <v>53</v>
      </c>
      <c r="C36" s="128" t="s">
        <v>55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30"/>
      <c r="O36" s="128" t="s">
        <v>73</v>
      </c>
      <c r="P36" s="128"/>
      <c r="Q36" s="129"/>
    </row>
    <row r="37" spans="1:17" ht="13.5" customHeight="1" x14ac:dyDescent="0.2">
      <c r="A37" s="136"/>
      <c r="B37" s="137"/>
      <c r="C37" s="117" t="s">
        <v>54</v>
      </c>
      <c r="D37" s="124" t="s">
        <v>56</v>
      </c>
      <c r="E37" s="124" t="s">
        <v>74</v>
      </c>
      <c r="F37" s="124" t="s">
        <v>75</v>
      </c>
      <c r="G37" s="124" t="s">
        <v>76</v>
      </c>
      <c r="H37" s="124" t="s">
        <v>77</v>
      </c>
      <c r="I37" s="134" t="s">
        <v>78</v>
      </c>
      <c r="J37" s="73" t="s">
        <v>59</v>
      </c>
      <c r="K37" s="124" t="s">
        <v>60</v>
      </c>
      <c r="L37" s="124" t="s">
        <v>61</v>
      </c>
      <c r="M37" s="124" t="s">
        <v>62</v>
      </c>
      <c r="N37" s="131" t="s">
        <v>63</v>
      </c>
      <c r="O37" s="117" t="s">
        <v>64</v>
      </c>
      <c r="P37" s="124" t="s">
        <v>65</v>
      </c>
      <c r="Q37" s="117" t="s">
        <v>66</v>
      </c>
    </row>
    <row r="38" spans="1:17" ht="13.5" customHeight="1" x14ac:dyDescent="0.2">
      <c r="A38" s="136"/>
      <c r="B38" s="137"/>
      <c r="C38" s="118"/>
      <c r="D38" s="125"/>
      <c r="E38" s="125"/>
      <c r="F38" s="125"/>
      <c r="G38" s="125"/>
      <c r="H38" s="125"/>
      <c r="I38" s="134"/>
      <c r="J38" s="73"/>
      <c r="K38" s="125"/>
      <c r="L38" s="125"/>
      <c r="M38" s="125"/>
      <c r="N38" s="132"/>
      <c r="O38" s="118"/>
      <c r="P38" s="125"/>
      <c r="Q38" s="118"/>
    </row>
    <row r="39" spans="1:17" ht="13.5" customHeight="1" x14ac:dyDescent="0.2">
      <c r="A39" s="136"/>
      <c r="B39" s="137"/>
      <c r="C39" s="118"/>
      <c r="D39" s="125"/>
      <c r="E39" s="125"/>
      <c r="F39" s="125"/>
      <c r="G39" s="125"/>
      <c r="H39" s="125"/>
      <c r="I39" s="134"/>
      <c r="J39" s="73"/>
      <c r="K39" s="125"/>
      <c r="L39" s="125"/>
      <c r="M39" s="125"/>
      <c r="N39" s="132"/>
      <c r="O39" s="118"/>
      <c r="P39" s="125"/>
      <c r="Q39" s="118"/>
    </row>
    <row r="40" spans="1:17" ht="13.5" customHeight="1" x14ac:dyDescent="0.2">
      <c r="A40" s="136"/>
      <c r="B40" s="137"/>
      <c r="C40" s="118"/>
      <c r="D40" s="125"/>
      <c r="E40" s="125"/>
      <c r="F40" s="125"/>
      <c r="G40" s="125"/>
      <c r="H40" s="125"/>
      <c r="I40" s="134"/>
      <c r="J40" s="73"/>
      <c r="K40" s="125"/>
      <c r="L40" s="125"/>
      <c r="M40" s="125"/>
      <c r="N40" s="132"/>
      <c r="O40" s="118"/>
      <c r="P40" s="125"/>
      <c r="Q40" s="118"/>
    </row>
    <row r="41" spans="1:17" ht="22.5" customHeight="1" x14ac:dyDescent="0.2">
      <c r="A41" s="136"/>
      <c r="B41" s="137"/>
      <c r="C41" s="119"/>
      <c r="D41" s="126"/>
      <c r="E41" s="126"/>
      <c r="F41" s="126"/>
      <c r="G41" s="126"/>
      <c r="H41" s="126"/>
      <c r="I41" s="134"/>
      <c r="J41" s="73"/>
      <c r="K41" s="126"/>
      <c r="L41" s="126"/>
      <c r="M41" s="126"/>
      <c r="N41" s="133"/>
      <c r="O41" s="119"/>
      <c r="P41" s="126"/>
      <c r="Q41" s="119"/>
    </row>
    <row r="42" spans="1:17" ht="13.5" customHeight="1" x14ac:dyDescent="0.2">
      <c r="A42" s="21"/>
      <c r="B42" s="22" t="s">
        <v>22</v>
      </c>
      <c r="C42" s="18" t="s">
        <v>9</v>
      </c>
      <c r="D42" s="6" t="s">
        <v>10</v>
      </c>
      <c r="E42" s="3" t="s">
        <v>11</v>
      </c>
      <c r="F42" s="5" t="s">
        <v>12</v>
      </c>
      <c r="G42" s="5" t="s">
        <v>13</v>
      </c>
      <c r="H42" s="5" t="s">
        <v>58</v>
      </c>
      <c r="I42" s="3" t="s">
        <v>14</v>
      </c>
      <c r="J42" s="3" t="s">
        <v>15</v>
      </c>
      <c r="K42" s="5" t="s">
        <v>67</v>
      </c>
      <c r="L42" s="5" t="s">
        <v>68</v>
      </c>
      <c r="M42" s="5" t="s">
        <v>69</v>
      </c>
      <c r="N42" s="19" t="s">
        <v>70</v>
      </c>
      <c r="O42" s="18" t="s">
        <v>1</v>
      </c>
      <c r="P42" s="5" t="s">
        <v>71</v>
      </c>
      <c r="Q42" s="5" t="s">
        <v>72</v>
      </c>
    </row>
    <row r="43" spans="1:17" ht="13.5" customHeight="1" x14ac:dyDescent="0.2">
      <c r="A43" s="19">
        <v>1</v>
      </c>
      <c r="B43" s="22">
        <v>2</v>
      </c>
      <c r="C43" s="4">
        <v>3</v>
      </c>
      <c r="D43" s="3">
        <v>4</v>
      </c>
      <c r="E43" s="3">
        <v>5</v>
      </c>
      <c r="F43" s="3">
        <v>6</v>
      </c>
      <c r="G43" s="3">
        <v>7</v>
      </c>
      <c r="H43" s="3">
        <v>8</v>
      </c>
      <c r="I43" s="3">
        <v>9</v>
      </c>
      <c r="J43" s="3">
        <v>10</v>
      </c>
      <c r="K43" s="3">
        <v>11</v>
      </c>
      <c r="L43" s="3">
        <v>12</v>
      </c>
      <c r="M43" s="3">
        <v>13</v>
      </c>
      <c r="N43" s="20">
        <v>14</v>
      </c>
      <c r="O43" s="4">
        <v>15</v>
      </c>
      <c r="P43" s="3">
        <v>16</v>
      </c>
      <c r="Q43" s="3">
        <v>17</v>
      </c>
    </row>
    <row r="44" spans="1:17" ht="30" customHeight="1" x14ac:dyDescent="0.2">
      <c r="A44" s="23" t="s">
        <v>79</v>
      </c>
      <c r="B44" s="138" t="s">
        <v>42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9"/>
    </row>
    <row r="45" spans="1:17" ht="15.75" customHeight="1" x14ac:dyDescent="0.2">
      <c r="A45" s="24" t="s">
        <v>92</v>
      </c>
      <c r="B45" s="120" t="s">
        <v>43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1"/>
    </row>
    <row r="46" spans="1:17" ht="13.5" customHeight="1" x14ac:dyDescent="0.2">
      <c r="A46" s="25" t="s">
        <v>80</v>
      </c>
      <c r="B46" s="122" t="s">
        <v>44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3"/>
    </row>
    <row r="47" spans="1:17" ht="12.75" x14ac:dyDescent="0.2">
      <c r="A47" s="25" t="s">
        <v>81</v>
      </c>
      <c r="B47" s="122" t="s">
        <v>97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3.5" customHeight="1" x14ac:dyDescent="0.2">
      <c r="A48" s="24" t="s">
        <v>93</v>
      </c>
      <c r="B48" s="122" t="s">
        <v>148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3"/>
    </row>
    <row r="49" spans="1:17" ht="13.5" customHeight="1" x14ac:dyDescent="0.2">
      <c r="A49" s="25" t="s">
        <v>82</v>
      </c>
      <c r="B49" s="120" t="s">
        <v>45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1"/>
    </row>
    <row r="50" spans="1:17" ht="12.75" x14ac:dyDescent="0.2">
      <c r="A50" s="25" t="s">
        <v>83</v>
      </c>
      <c r="B50" s="122" t="s">
        <v>98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3"/>
    </row>
    <row r="51" spans="1:17" ht="12.75" x14ac:dyDescent="0.2">
      <c r="A51" s="26" t="s">
        <v>94</v>
      </c>
      <c r="B51" s="120" t="s">
        <v>46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1"/>
    </row>
    <row r="52" spans="1:17" ht="13.5" customHeight="1" x14ac:dyDescent="0.2">
      <c r="A52" s="25" t="s">
        <v>84</v>
      </c>
      <c r="B52" s="120" t="s">
        <v>99</v>
      </c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1"/>
    </row>
    <row r="53" spans="1:17" ht="13.5" customHeight="1" x14ac:dyDescent="0.2">
      <c r="A53" s="25" t="s">
        <v>85</v>
      </c>
      <c r="B53" s="120" t="s">
        <v>100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1"/>
    </row>
    <row r="54" spans="1:17" ht="13.5" customHeight="1" x14ac:dyDescent="0.2">
      <c r="A54" s="25" t="s">
        <v>86</v>
      </c>
      <c r="B54" s="120" t="s">
        <v>101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1"/>
    </row>
    <row r="55" spans="1:17" ht="13.5" customHeight="1" x14ac:dyDescent="0.2">
      <c r="A55" s="24" t="s">
        <v>95</v>
      </c>
      <c r="B55" s="120" t="s">
        <v>47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1"/>
    </row>
    <row r="56" spans="1:17" ht="13.5" customHeight="1" x14ac:dyDescent="0.2">
      <c r="A56" s="25" t="s">
        <v>87</v>
      </c>
      <c r="B56" s="120" t="s">
        <v>48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1"/>
    </row>
    <row r="57" spans="1:17" ht="13.5" customHeight="1" x14ac:dyDescent="0.2">
      <c r="A57" s="25" t="s">
        <v>88</v>
      </c>
      <c r="B57" s="120" t="s">
        <v>102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1"/>
    </row>
    <row r="58" spans="1:17" ht="13.5" customHeight="1" x14ac:dyDescent="0.2">
      <c r="A58" s="24" t="s">
        <v>96</v>
      </c>
      <c r="B58" s="120" t="s">
        <v>103</v>
      </c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1"/>
    </row>
    <row r="59" spans="1:17" ht="13.5" customHeight="1" x14ac:dyDescent="0.2">
      <c r="A59" s="25" t="s">
        <v>89</v>
      </c>
      <c r="B59" s="127" t="s">
        <v>104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1"/>
    </row>
    <row r="60" spans="1:17" ht="24" customHeight="1" x14ac:dyDescent="0.2">
      <c r="A60" s="25" t="s">
        <v>90</v>
      </c>
      <c r="B60" s="127" t="s">
        <v>105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1"/>
    </row>
    <row r="61" spans="1:17" ht="18" customHeight="1" thickBot="1" x14ac:dyDescent="0.25">
      <c r="A61" s="27" t="s">
        <v>91</v>
      </c>
      <c r="B61" s="127" t="s">
        <v>106</v>
      </c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1"/>
    </row>
    <row r="65" spans="1:13" ht="75" customHeight="1" x14ac:dyDescent="0.2">
      <c r="A65" s="135" t="str">
        <f>CONCATENATE("Informacja z wykonania budżetów powiatów za  ",$D$104," ",$C$105," roku")</f>
        <v>Informacja z wykonania budżetów powiatów za  - 2023 roku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</row>
    <row r="66" spans="1:13" ht="13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3.5" customHeight="1" x14ac:dyDescent="0.2">
      <c r="B67" s="70" t="s">
        <v>5</v>
      </c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9" spans="1:13" ht="13.5" customHeight="1" x14ac:dyDescent="0.2">
      <c r="B69" s="140" t="s">
        <v>0</v>
      </c>
      <c r="C69" s="140"/>
      <c r="D69" s="140"/>
      <c r="E69" s="140"/>
      <c r="F69" s="96" t="s">
        <v>2</v>
      </c>
      <c r="G69" s="71" t="s">
        <v>142</v>
      </c>
      <c r="H69" s="85"/>
      <c r="I69" s="85"/>
      <c r="J69" s="85"/>
      <c r="K69" s="85"/>
      <c r="L69" s="72"/>
    </row>
    <row r="70" spans="1:13" ht="13.5" customHeight="1" x14ac:dyDescent="0.2">
      <c r="B70" s="140"/>
      <c r="C70" s="140"/>
      <c r="D70" s="140"/>
      <c r="E70" s="140"/>
      <c r="F70" s="97"/>
      <c r="G70" s="73" t="s">
        <v>6</v>
      </c>
      <c r="H70" s="73" t="s">
        <v>74</v>
      </c>
      <c r="I70" s="73" t="s">
        <v>141</v>
      </c>
      <c r="J70" s="73" t="s">
        <v>76</v>
      </c>
      <c r="K70" s="73" t="s">
        <v>77</v>
      </c>
      <c r="L70" s="156" t="s">
        <v>147</v>
      </c>
    </row>
    <row r="71" spans="1:13" ht="13.5" customHeight="1" x14ac:dyDescent="0.2">
      <c r="B71" s="140"/>
      <c r="C71" s="140"/>
      <c r="D71" s="140"/>
      <c r="E71" s="140"/>
      <c r="F71" s="97"/>
      <c r="G71" s="73"/>
      <c r="H71" s="73"/>
      <c r="I71" s="73"/>
      <c r="J71" s="73"/>
      <c r="K71" s="73"/>
      <c r="L71" s="157"/>
    </row>
    <row r="72" spans="1:13" ht="22.5" customHeight="1" x14ac:dyDescent="0.2">
      <c r="B72" s="140"/>
      <c r="C72" s="140"/>
      <c r="D72" s="140"/>
      <c r="E72" s="140"/>
      <c r="F72" s="98"/>
      <c r="G72" s="73"/>
      <c r="H72" s="73"/>
      <c r="I72" s="73"/>
      <c r="J72" s="73"/>
      <c r="K72" s="73"/>
      <c r="L72" s="158"/>
    </row>
    <row r="73" spans="1:13" ht="13.5" customHeight="1" x14ac:dyDescent="0.2">
      <c r="B73" s="73"/>
      <c r="C73" s="73"/>
      <c r="D73" s="73"/>
      <c r="E73" s="73"/>
      <c r="F73" s="3" t="s">
        <v>20</v>
      </c>
      <c r="G73" s="3" t="s">
        <v>16</v>
      </c>
      <c r="H73" s="3" t="s">
        <v>17</v>
      </c>
      <c r="I73" s="3" t="s">
        <v>18</v>
      </c>
      <c r="J73" s="3" t="s">
        <v>19</v>
      </c>
      <c r="K73" s="3" t="s">
        <v>132</v>
      </c>
      <c r="L73" s="42" t="s">
        <v>133</v>
      </c>
    </row>
    <row r="74" spans="1:13" ht="13.5" customHeight="1" x14ac:dyDescent="0.2">
      <c r="B74" s="73">
        <v>1</v>
      </c>
      <c r="C74" s="73"/>
      <c r="D74" s="73"/>
      <c r="E74" s="73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40">
        <v>8</v>
      </c>
    </row>
    <row r="75" spans="1:13" ht="33.75" customHeight="1" x14ac:dyDescent="0.2">
      <c r="B75" s="142" t="s">
        <v>121</v>
      </c>
      <c r="C75" s="142"/>
      <c r="D75" s="142"/>
      <c r="E75" s="142"/>
      <c r="F75" s="151" t="s">
        <v>49</v>
      </c>
      <c r="G75" s="151"/>
      <c r="H75" s="151"/>
      <c r="I75" s="151"/>
      <c r="J75" s="151"/>
      <c r="K75" s="151"/>
      <c r="L75" s="151"/>
    </row>
    <row r="76" spans="1:13" ht="33.75" customHeight="1" x14ac:dyDescent="0.2">
      <c r="B76" s="143" t="s">
        <v>122</v>
      </c>
      <c r="C76" s="143"/>
      <c r="D76" s="143"/>
      <c r="E76" s="143"/>
      <c r="F76" s="143" t="s">
        <v>50</v>
      </c>
      <c r="G76" s="143"/>
      <c r="H76" s="143"/>
      <c r="I76" s="143"/>
      <c r="J76" s="143"/>
      <c r="K76" s="143"/>
      <c r="L76" s="143"/>
    </row>
    <row r="77" spans="1:13" ht="33.75" customHeight="1" x14ac:dyDescent="0.2">
      <c r="B77" s="142" t="s">
        <v>123</v>
      </c>
      <c r="C77" s="142"/>
      <c r="D77" s="142"/>
      <c r="E77" s="142"/>
      <c r="F77" s="142" t="s">
        <v>51</v>
      </c>
      <c r="G77" s="142"/>
      <c r="H77" s="142"/>
      <c r="I77" s="142"/>
      <c r="J77" s="142"/>
      <c r="K77" s="142"/>
      <c r="L77" s="142"/>
    </row>
    <row r="78" spans="1:13" ht="22.5" customHeight="1" x14ac:dyDescent="0.2">
      <c r="B78" s="142" t="s">
        <v>124</v>
      </c>
      <c r="C78" s="142"/>
      <c r="D78" s="142"/>
      <c r="E78" s="142"/>
      <c r="F78" s="143" t="s">
        <v>128</v>
      </c>
      <c r="G78" s="143"/>
      <c r="H78" s="143"/>
      <c r="I78" s="143"/>
      <c r="J78" s="143"/>
      <c r="K78" s="143"/>
      <c r="L78" s="143"/>
    </row>
    <row r="79" spans="1:13" ht="33.75" customHeight="1" x14ac:dyDescent="0.2">
      <c r="B79" s="143" t="s">
        <v>125</v>
      </c>
      <c r="C79" s="143"/>
      <c r="D79" s="143"/>
      <c r="E79" s="143"/>
      <c r="F79" s="142" t="s">
        <v>129</v>
      </c>
      <c r="G79" s="142"/>
      <c r="H79" s="142"/>
      <c r="I79" s="142"/>
      <c r="J79" s="142"/>
      <c r="K79" s="142"/>
      <c r="L79" s="142"/>
    </row>
    <row r="80" spans="1:13" ht="33.75" customHeight="1" x14ac:dyDescent="0.2">
      <c r="B80" s="142" t="s">
        <v>126</v>
      </c>
      <c r="C80" s="142"/>
      <c r="D80" s="142"/>
      <c r="E80" s="142"/>
      <c r="F80" s="143" t="s">
        <v>130</v>
      </c>
      <c r="G80" s="143"/>
      <c r="H80" s="143"/>
      <c r="I80" s="143"/>
      <c r="J80" s="143"/>
      <c r="K80" s="143"/>
      <c r="L80" s="143"/>
    </row>
    <row r="81" spans="1:13" ht="22.5" customHeight="1" x14ac:dyDescent="0.2">
      <c r="B81" s="86" t="s">
        <v>127</v>
      </c>
      <c r="C81" s="87"/>
      <c r="D81" s="87"/>
      <c r="E81" s="88"/>
      <c r="F81" s="142" t="s">
        <v>131</v>
      </c>
      <c r="G81" s="142"/>
      <c r="H81" s="142"/>
      <c r="I81" s="142"/>
      <c r="J81" s="142"/>
      <c r="K81" s="142"/>
      <c r="L81" s="142"/>
    </row>
    <row r="82" spans="1:13" ht="18.75" customHeight="1" x14ac:dyDescent="0.2">
      <c r="A82" s="35"/>
      <c r="B82" s="36"/>
      <c r="C82" s="36"/>
      <c r="D82" s="36"/>
      <c r="E82" s="36"/>
      <c r="F82" s="150"/>
      <c r="G82" s="150"/>
      <c r="H82" s="150"/>
      <c r="I82" s="150"/>
      <c r="J82" s="150"/>
      <c r="K82" s="150"/>
      <c r="L82" s="35"/>
    </row>
    <row r="83" spans="1:13" ht="13.5" customHeight="1" x14ac:dyDescent="0.2">
      <c r="C83" s="35"/>
      <c r="G83" s="35"/>
      <c r="H83" s="35"/>
      <c r="I83" s="35"/>
      <c r="J83" s="35"/>
      <c r="K83" s="35"/>
    </row>
    <row r="94" spans="1:13" ht="75" customHeight="1" x14ac:dyDescent="0.2">
      <c r="A94" s="135" t="str">
        <f>CONCATENATE("Informacja z wykonania budżetów powiatów za  ",$D$104," ",$C$105," roku")</f>
        <v>Informacja z wykonania budżetów powiatów za  - 2023 roku</v>
      </c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</row>
    <row r="95" spans="1:13" ht="13.5" customHeight="1" x14ac:dyDescent="0.2">
      <c r="B95" s="9"/>
    </row>
    <row r="96" spans="1:13" ht="13.5" customHeight="1" x14ac:dyDescent="0.2">
      <c r="B96" s="10"/>
      <c r="C96" s="71"/>
      <c r="D96" s="85"/>
      <c r="E96" s="85"/>
      <c r="F96" s="72"/>
      <c r="G96" s="71" t="s">
        <v>7</v>
      </c>
      <c r="H96" s="72"/>
      <c r="I96" s="71" t="s">
        <v>8</v>
      </c>
      <c r="J96" s="72"/>
      <c r="K96" s="10"/>
    </row>
    <row r="97" spans="2:11" ht="13.5" customHeight="1" x14ac:dyDescent="0.2">
      <c r="B97" s="10"/>
      <c r="C97" s="14"/>
      <c r="D97" s="13"/>
      <c r="E97" s="13"/>
      <c r="F97" s="4"/>
      <c r="G97" s="71" t="s">
        <v>33</v>
      </c>
      <c r="H97" s="72"/>
      <c r="I97" s="71" t="s">
        <v>32</v>
      </c>
      <c r="J97" s="72"/>
      <c r="K97" s="10"/>
    </row>
    <row r="98" spans="2:11" ht="13.5" customHeight="1" x14ac:dyDescent="0.2">
      <c r="B98" s="11"/>
      <c r="C98" s="86" t="s">
        <v>23</v>
      </c>
      <c r="D98" s="87"/>
      <c r="E98" s="87"/>
      <c r="F98" s="88"/>
      <c r="G98" s="144" t="s">
        <v>29</v>
      </c>
      <c r="H98" s="145"/>
      <c r="I98" s="145"/>
      <c r="J98" s="146"/>
      <c r="K98" s="12"/>
    </row>
    <row r="99" spans="2:11" ht="13.5" customHeight="1" x14ac:dyDescent="0.2">
      <c r="B99" s="11"/>
      <c r="C99" s="89" t="s">
        <v>24</v>
      </c>
      <c r="D99" s="90"/>
      <c r="E99" s="90"/>
      <c r="F99" s="91"/>
      <c r="G99" s="147" t="s">
        <v>30</v>
      </c>
      <c r="H99" s="148"/>
      <c r="I99" s="148"/>
      <c r="J99" s="149"/>
      <c r="K99" s="12"/>
    </row>
    <row r="100" spans="2:11" ht="13.5" customHeight="1" x14ac:dyDescent="0.2">
      <c r="B100" s="11"/>
      <c r="C100" s="86" t="s">
        <v>25</v>
      </c>
      <c r="D100" s="87"/>
      <c r="E100" s="87"/>
      <c r="F100" s="88"/>
      <c r="G100" s="144" t="s">
        <v>31</v>
      </c>
      <c r="H100" s="145"/>
      <c r="I100" s="145"/>
      <c r="J100" s="146"/>
      <c r="K100" s="12"/>
    </row>
    <row r="104" spans="2:11" ht="13.5" customHeight="1" x14ac:dyDescent="0.2">
      <c r="B104" s="15" t="s">
        <v>26</v>
      </c>
      <c r="C104" s="15">
        <f>2</f>
        <v>2</v>
      </c>
      <c r="D104" s="15" t="str">
        <f>IF(C104="1","I Kwartał",IF(C104="2","II Kwartały",IF(C104="3","III Kwartały",IF(C104="4","IV Kwartały","-"))))</f>
        <v>-</v>
      </c>
    </row>
    <row r="105" spans="2:11" ht="13.5" customHeight="1" x14ac:dyDescent="0.2">
      <c r="B105" s="15" t="s">
        <v>27</v>
      </c>
      <c r="C105" s="15">
        <f>2023</f>
        <v>2023</v>
      </c>
      <c r="D105" s="16"/>
    </row>
    <row r="106" spans="2:11" ht="13.5" customHeight="1" x14ac:dyDescent="0.2">
      <c r="B106" s="15" t="s">
        <v>28</v>
      </c>
      <c r="C106" s="17" t="str">
        <f>"Aug 14 2023 12:00AM"</f>
        <v>Aug 14 2023 12:00AM</v>
      </c>
      <c r="D106" s="16"/>
    </row>
  </sheetData>
  <mergeCells count="111">
    <mergeCell ref="C5:N5"/>
    <mergeCell ref="G69:L69"/>
    <mergeCell ref="K70:K72"/>
    <mergeCell ref="J70:J72"/>
    <mergeCell ref="I70:I72"/>
    <mergeCell ref="H70:H72"/>
    <mergeCell ref="L70:L72"/>
    <mergeCell ref="K6:K10"/>
    <mergeCell ref="L6:L10"/>
    <mergeCell ref="M6:M10"/>
    <mergeCell ref="O5:Q5"/>
    <mergeCell ref="P6:P10"/>
    <mergeCell ref="O6:O10"/>
    <mergeCell ref="Q6:Q10"/>
    <mergeCell ref="F6:F10"/>
    <mergeCell ref="N6:N10"/>
    <mergeCell ref="G6:G10"/>
    <mergeCell ref="H6:H10"/>
    <mergeCell ref="I6:I10"/>
    <mergeCell ref="J6:J10"/>
    <mergeCell ref="B21:Q21"/>
    <mergeCell ref="B22:Q22"/>
    <mergeCell ref="B23:Q23"/>
    <mergeCell ref="F82:K82"/>
    <mergeCell ref="F75:L75"/>
    <mergeCell ref="F76:L76"/>
    <mergeCell ref="B79:E79"/>
    <mergeCell ref="B80:E80"/>
    <mergeCell ref="B81:E81"/>
    <mergeCell ref="A65:M65"/>
    <mergeCell ref="C96:F96"/>
    <mergeCell ref="C98:F98"/>
    <mergeCell ref="C99:F99"/>
    <mergeCell ref="C100:F100"/>
    <mergeCell ref="G100:J100"/>
    <mergeCell ref="G97:H97"/>
    <mergeCell ref="I97:J97"/>
    <mergeCell ref="G98:J98"/>
    <mergeCell ref="G99:J99"/>
    <mergeCell ref="F77:L77"/>
    <mergeCell ref="F78:L78"/>
    <mergeCell ref="F79:L79"/>
    <mergeCell ref="F80:L80"/>
    <mergeCell ref="B75:E75"/>
    <mergeCell ref="B76:E76"/>
    <mergeCell ref="B77:E77"/>
    <mergeCell ref="B78:E78"/>
    <mergeCell ref="B67:M67"/>
    <mergeCell ref="G96:H96"/>
    <mergeCell ref="I96:J96"/>
    <mergeCell ref="B74:E74"/>
    <mergeCell ref="B73:E73"/>
    <mergeCell ref="B69:E72"/>
    <mergeCell ref="F69:F72"/>
    <mergeCell ref="G70:G72"/>
    <mergeCell ref="A94:M94"/>
    <mergeCell ref="F81:L81"/>
    <mergeCell ref="A3:M3"/>
    <mergeCell ref="B16:Q16"/>
    <mergeCell ref="A5:A10"/>
    <mergeCell ref="B5:B10"/>
    <mergeCell ref="B13:Q13"/>
    <mergeCell ref="B14:Q14"/>
    <mergeCell ref="B15:Q15"/>
    <mergeCell ref="D6:D10"/>
    <mergeCell ref="C6:C10"/>
    <mergeCell ref="E6:E10"/>
    <mergeCell ref="A1:M1"/>
    <mergeCell ref="B51:Q51"/>
    <mergeCell ref="B46:Q46"/>
    <mergeCell ref="B47:Q47"/>
    <mergeCell ref="A32:M32"/>
    <mergeCell ref="A34:M34"/>
    <mergeCell ref="A36:A41"/>
    <mergeCell ref="B36:B41"/>
    <mergeCell ref="B44:Q44"/>
    <mergeCell ref="B45:Q45"/>
    <mergeCell ref="B52:Q52"/>
    <mergeCell ref="Q37:Q41"/>
    <mergeCell ref="H37:H41"/>
    <mergeCell ref="G37:G41"/>
    <mergeCell ref="F37:F41"/>
    <mergeCell ref="J37:J41"/>
    <mergeCell ref="K37:K41"/>
    <mergeCell ref="B48:Q48"/>
    <mergeCell ref="B49:Q49"/>
    <mergeCell ref="I37:I41"/>
    <mergeCell ref="O36:Q36"/>
    <mergeCell ref="C36:N36"/>
    <mergeCell ref="P37:P41"/>
    <mergeCell ref="D37:D41"/>
    <mergeCell ref="L37:L41"/>
    <mergeCell ref="M37:M41"/>
    <mergeCell ref="N37:N41"/>
    <mergeCell ref="C37:C41"/>
    <mergeCell ref="B61:Q61"/>
    <mergeCell ref="B60:Q60"/>
    <mergeCell ref="B56:Q56"/>
    <mergeCell ref="B57:Q57"/>
    <mergeCell ref="B58:Q58"/>
    <mergeCell ref="B59:Q59"/>
    <mergeCell ref="B17:Q17"/>
    <mergeCell ref="B18:Q18"/>
    <mergeCell ref="B19:Q19"/>
    <mergeCell ref="B20:Q20"/>
    <mergeCell ref="O37:O41"/>
    <mergeCell ref="B55:Q55"/>
    <mergeCell ref="B53:Q53"/>
    <mergeCell ref="B54:Q54"/>
    <mergeCell ref="B50:Q50"/>
    <mergeCell ref="E37:E41"/>
  </mergeCells>
  <phoneticPr fontId="5" type="noConversion"/>
  <pageMargins left="0.19685039370078741" right="0.19685039370078741" top="0.19685039370078741" bottom="0.19685039370078741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zob_nal</vt:lpstr>
      <vt:lpstr>definicja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2009-11-20T13:10:55Z</cp:lastPrinted>
  <dcterms:created xsi:type="dcterms:W3CDTF">2001-05-17T08:58:03Z</dcterms:created>
  <dcterms:modified xsi:type="dcterms:W3CDTF">2023-08-14T13:39:17Z</dcterms:modified>
</cp:coreProperties>
</file>