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```ST7\Besti@\2022\I kw 2022\Zbiorówki\Zatwierdzone\WWW\Nowy format\www bez definicji\"/>
    </mc:Choice>
  </mc:AlternateContent>
  <bookViews>
    <workbookView xWindow="240" yWindow="120" windowWidth="14220" windowHeight="8835"/>
  </bookViews>
  <sheets>
    <sheet name="doch_wyd" sheetId="4" r:id="rId1"/>
  </sheets>
  <definedNames>
    <definedName name="_xlnm.Print_Area" localSheetId="0">doch_wyd!$A$1:$M$113</definedName>
  </definedNames>
  <calcPr calcId="152511"/>
</workbook>
</file>

<file path=xl/calcChain.xml><?xml version="1.0" encoding="utf-8"?>
<calcChain xmlns="http://schemas.openxmlformats.org/spreadsheetml/2006/main">
  <c r="C113" i="4" l="1"/>
  <c r="C112" i="4"/>
  <c r="C111" i="4"/>
  <c r="D108" i="4"/>
  <c r="C108" i="4"/>
  <c r="D107" i="4"/>
  <c r="C107" i="4"/>
  <c r="D106" i="4"/>
  <c r="C106" i="4"/>
  <c r="D105" i="4"/>
  <c r="C105" i="4"/>
  <c r="D104" i="4"/>
  <c r="C104" i="4"/>
  <c r="D103" i="4"/>
  <c r="C103" i="4"/>
  <c r="D102" i="4"/>
  <c r="C102" i="4"/>
  <c r="D101" i="4"/>
  <c r="C101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D85" i="4"/>
  <c r="C85" i="4"/>
  <c r="D84" i="4"/>
  <c r="C84" i="4"/>
  <c r="D83" i="4"/>
  <c r="C83" i="4"/>
  <c r="I76" i="4"/>
  <c r="H76" i="4"/>
  <c r="G76" i="4"/>
  <c r="F76" i="4"/>
  <c r="E76" i="4"/>
  <c r="D76" i="4"/>
  <c r="C76" i="4"/>
  <c r="I75" i="4"/>
  <c r="H75" i="4"/>
  <c r="G75" i="4"/>
  <c r="F75" i="4"/>
  <c r="E75" i="4"/>
  <c r="D75" i="4"/>
  <c r="C75" i="4"/>
  <c r="C77" i="4" s="1"/>
  <c r="I69" i="4"/>
  <c r="H69" i="4"/>
  <c r="G69" i="4"/>
  <c r="F69" i="4"/>
  <c r="E69" i="4"/>
  <c r="D69" i="4"/>
  <c r="C69" i="4"/>
  <c r="I68" i="4"/>
  <c r="H68" i="4"/>
  <c r="G68" i="4"/>
  <c r="F68" i="4"/>
  <c r="E68" i="4"/>
  <c r="D68" i="4"/>
  <c r="C68" i="4"/>
  <c r="I67" i="4"/>
  <c r="H67" i="4"/>
  <c r="G67" i="4"/>
  <c r="F67" i="4"/>
  <c r="E67" i="4"/>
  <c r="D67" i="4"/>
  <c r="C67" i="4"/>
  <c r="I66" i="4"/>
  <c r="H66" i="4"/>
  <c r="G66" i="4"/>
  <c r="F66" i="4"/>
  <c r="E66" i="4"/>
  <c r="D66" i="4"/>
  <c r="C66" i="4"/>
  <c r="I65" i="4"/>
  <c r="H65" i="4"/>
  <c r="G65" i="4"/>
  <c r="F65" i="4"/>
  <c r="E65" i="4"/>
  <c r="D65" i="4"/>
  <c r="C65" i="4"/>
  <c r="I63" i="4"/>
  <c r="H63" i="4"/>
  <c r="G63" i="4"/>
  <c r="F63" i="4"/>
  <c r="E63" i="4"/>
  <c r="D63" i="4"/>
  <c r="C63" i="4"/>
  <c r="I62" i="4"/>
  <c r="H62" i="4"/>
  <c r="G62" i="4"/>
  <c r="F62" i="4"/>
  <c r="E62" i="4"/>
  <c r="D62" i="4"/>
  <c r="C62" i="4"/>
  <c r="I61" i="4"/>
  <c r="H61" i="4"/>
  <c r="G61" i="4"/>
  <c r="F61" i="4"/>
  <c r="E61" i="4"/>
  <c r="D61" i="4"/>
  <c r="C61" i="4"/>
  <c r="I52" i="4"/>
  <c r="H52" i="4"/>
  <c r="G52" i="4"/>
  <c r="F52" i="4"/>
  <c r="E52" i="4"/>
  <c r="D52" i="4"/>
  <c r="C52" i="4"/>
  <c r="D49" i="4"/>
  <c r="C49" i="4"/>
  <c r="D48" i="4"/>
  <c r="C48" i="4"/>
  <c r="D47" i="4"/>
  <c r="C47" i="4"/>
  <c r="D46" i="4"/>
  <c r="C46" i="4"/>
  <c r="D45" i="4"/>
  <c r="C45" i="4"/>
  <c r="D43" i="4"/>
  <c r="C43" i="4"/>
  <c r="D42" i="4"/>
  <c r="C42" i="4"/>
  <c r="D41" i="4"/>
  <c r="C41" i="4"/>
  <c r="D40" i="4"/>
  <c r="C40" i="4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6" i="4"/>
  <c r="H6" i="4"/>
  <c r="G6" i="4"/>
  <c r="F6" i="4"/>
  <c r="E6" i="4"/>
  <c r="E51" i="4" s="1"/>
  <c r="E53" i="4" s="1"/>
  <c r="D6" i="4"/>
  <c r="C6" i="4"/>
  <c r="G77" i="4"/>
  <c r="K86" i="4"/>
  <c r="K94" i="4"/>
  <c r="K20" i="4"/>
  <c r="D44" i="4"/>
  <c r="K61" i="4"/>
  <c r="C64" i="4"/>
  <c r="C70" i="4" s="1"/>
  <c r="K88" i="4"/>
  <c r="K96" i="4"/>
  <c r="K8" i="4"/>
  <c r="K66" i="4"/>
  <c r="K16" i="4"/>
  <c r="G64" i="4"/>
  <c r="K90" i="4"/>
  <c r="F7" i="4"/>
  <c r="F21" i="4" s="1"/>
  <c r="F51" i="4"/>
  <c r="F53" i="4"/>
  <c r="K12" i="4"/>
  <c r="D23" i="4"/>
  <c r="J23" i="4" s="1"/>
  <c r="K75" i="4"/>
  <c r="K84" i="4"/>
  <c r="K92" i="4"/>
  <c r="C51" i="4"/>
  <c r="C71" i="4"/>
  <c r="K6" i="4"/>
  <c r="G7" i="4"/>
  <c r="G21" i="4" s="1"/>
  <c r="G51" i="4"/>
  <c r="G53" i="4" s="1"/>
  <c r="K11" i="4"/>
  <c r="K15" i="4"/>
  <c r="K19" i="4"/>
  <c r="K25" i="4"/>
  <c r="K27" i="4"/>
  <c r="K29" i="4"/>
  <c r="K31" i="4"/>
  <c r="K33" i="4"/>
  <c r="K35" i="4"/>
  <c r="K37" i="4"/>
  <c r="K39" i="4"/>
  <c r="K41" i="4"/>
  <c r="K43" i="4"/>
  <c r="K46" i="4"/>
  <c r="K48" i="4"/>
  <c r="K52" i="4"/>
  <c r="J65" i="4"/>
  <c r="J63" i="4"/>
  <c r="J69" i="4"/>
  <c r="D64" i="4"/>
  <c r="J64" i="4" s="1"/>
  <c r="J62" i="4"/>
  <c r="J61" i="4"/>
  <c r="J66" i="4"/>
  <c r="J68" i="4"/>
  <c r="J67" i="4"/>
  <c r="H64" i="4"/>
  <c r="H70" i="4"/>
  <c r="K65" i="4"/>
  <c r="K69" i="4"/>
  <c r="D77" i="4"/>
  <c r="J77" i="4" s="1"/>
  <c r="J76" i="4"/>
  <c r="J75" i="4"/>
  <c r="H77" i="4"/>
  <c r="J94" i="4"/>
  <c r="J96" i="4"/>
  <c r="J93" i="4"/>
  <c r="J92" i="4"/>
  <c r="J95" i="4"/>
  <c r="J26" i="4"/>
  <c r="J15" i="4"/>
  <c r="J12" i="4"/>
  <c r="J19" i="4"/>
  <c r="J28" i="4"/>
  <c r="J46" i="4"/>
  <c r="J24" i="4"/>
  <c r="J43" i="4"/>
  <c r="J10" i="4"/>
  <c r="J27" i="4"/>
  <c r="J20" i="4"/>
  <c r="J52" i="4"/>
  <c r="J47" i="4"/>
  <c r="J8" i="4"/>
  <c r="J42" i="4"/>
  <c r="J29" i="4"/>
  <c r="D71" i="4"/>
  <c r="J39" i="4"/>
  <c r="J35" i="4"/>
  <c r="J13" i="4"/>
  <c r="J30" i="4"/>
  <c r="J11" i="4"/>
  <c r="J48" i="4"/>
  <c r="J33" i="4"/>
  <c r="J32" i="4"/>
  <c r="J37" i="4"/>
  <c r="J40" i="4"/>
  <c r="J36" i="4"/>
  <c r="J38" i="4"/>
  <c r="J6" i="4"/>
  <c r="J14" i="4"/>
  <c r="J49" i="4"/>
  <c r="J17" i="4"/>
  <c r="D51" i="4"/>
  <c r="J51" i="4" s="1"/>
  <c r="J16" i="4"/>
  <c r="J25" i="4"/>
  <c r="J9" i="4"/>
  <c r="J41" i="4"/>
  <c r="J45" i="4"/>
  <c r="J34" i="4"/>
  <c r="J31" i="4"/>
  <c r="H51" i="4"/>
  <c r="H53" i="4" s="1"/>
  <c r="H7" i="4"/>
  <c r="H21" i="4"/>
  <c r="K10" i="4"/>
  <c r="K14" i="4"/>
  <c r="E64" i="4"/>
  <c r="E70" i="4"/>
  <c r="I64" i="4"/>
  <c r="I70" i="4" s="1"/>
  <c r="K63" i="4"/>
  <c r="K68" i="4"/>
  <c r="E77" i="4"/>
  <c r="I77" i="4"/>
  <c r="K83" i="4"/>
  <c r="K85" i="4"/>
  <c r="K87" i="4"/>
  <c r="K89" i="4"/>
  <c r="K91" i="4"/>
  <c r="K93" i="4"/>
  <c r="K95" i="4"/>
  <c r="D111" i="4"/>
  <c r="B78" i="4" s="1"/>
  <c r="E7" i="4"/>
  <c r="E21" i="4" s="1"/>
  <c r="I51" i="4"/>
  <c r="I53" i="4"/>
  <c r="I7" i="4"/>
  <c r="I21" i="4" s="1"/>
  <c r="K9" i="4"/>
  <c r="K13" i="4"/>
  <c r="K17" i="4"/>
  <c r="C23" i="4"/>
  <c r="C22" i="4" s="1"/>
  <c r="K24" i="4"/>
  <c r="K26" i="4"/>
  <c r="K28" i="4"/>
  <c r="K30" i="4"/>
  <c r="K32" i="4"/>
  <c r="K34" i="4"/>
  <c r="K36" i="4"/>
  <c r="K38" i="4"/>
  <c r="K40" i="4"/>
  <c r="K42" i="4"/>
  <c r="C44" i="4"/>
  <c r="K45" i="4"/>
  <c r="K47" i="4"/>
  <c r="K49" i="4"/>
  <c r="F64" i="4"/>
  <c r="F70" i="4" s="1"/>
  <c r="K62" i="4"/>
  <c r="K67" i="4"/>
  <c r="F77" i="4"/>
  <c r="K76" i="4"/>
  <c r="J88" i="4"/>
  <c r="J83" i="4"/>
  <c r="J85" i="4"/>
  <c r="J86" i="4"/>
  <c r="J87" i="4"/>
  <c r="J91" i="4"/>
  <c r="J89" i="4"/>
  <c r="J84" i="4"/>
  <c r="J90" i="4"/>
  <c r="D70" i="4" l="1"/>
  <c r="J70" i="4" s="1"/>
  <c r="B54" i="4"/>
  <c r="B1" i="4"/>
  <c r="K77" i="4"/>
  <c r="G70" i="4"/>
  <c r="K64" i="4"/>
  <c r="K44" i="4"/>
  <c r="J44" i="4"/>
  <c r="D22" i="4"/>
  <c r="K22" i="4"/>
  <c r="C7" i="4"/>
  <c r="C21" i="4" s="1"/>
  <c r="K23" i="4"/>
  <c r="K18" i="4"/>
  <c r="J18" i="4"/>
  <c r="D53" i="4"/>
  <c r="K51" i="4"/>
  <c r="C53" i="4"/>
  <c r="K70" i="4" l="1"/>
  <c r="J22" i="4"/>
  <c r="D7" i="4"/>
  <c r="K7" i="4" s="1"/>
  <c r="D72" i="4"/>
  <c r="J53" i="4"/>
  <c r="C72" i="4"/>
  <c r="K53" i="4"/>
  <c r="L7" i="4" l="1"/>
  <c r="L14" i="4"/>
  <c r="L19" i="4"/>
  <c r="L11" i="4"/>
  <c r="L13" i="4"/>
  <c r="L10" i="4"/>
  <c r="L12" i="4"/>
  <c r="L18" i="4"/>
  <c r="D21" i="4"/>
  <c r="L21" i="4" s="1"/>
  <c r="L20" i="4"/>
  <c r="J7" i="4"/>
  <c r="L16" i="4"/>
  <c r="L9" i="4"/>
  <c r="L17" i="4"/>
  <c r="L8" i="4"/>
  <c r="L15" i="4"/>
  <c r="J21" i="4" l="1"/>
  <c r="K21" i="4"/>
</calcChain>
</file>

<file path=xl/sharedStrings.xml><?xml version="1.0" encoding="utf-8"?>
<sst xmlns="http://schemas.openxmlformats.org/spreadsheetml/2006/main" count="337" uniqueCount="109">
  <si>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</si>
  <si>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</si>
  <si>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</si>
  <si>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</si>
  <si>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</si>
  <si>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</si>
  <si>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</si>
  <si>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</si>
  <si>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</si>
  <si>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</si>
  <si>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</si>
  <si>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</si>
  <si>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</si>
  <si>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</si>
  <si>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</si>
  <si>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</si>
  <si>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</si>
  <si>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</si>
  <si>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</si>
  <si>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</si>
  <si>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</si>
  <si>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</si>
  <si>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</si>
  <si>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</si>
  <si>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</si>
  <si>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</si>
  <si>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</si>
  <si>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</si>
  <si>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</si>
  <si>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</si>
  <si>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 xml:space="preserve">wpływy z opłaty skarbowej        </t>
  </si>
  <si>
    <t>wpływy z opłaty eksploatacyjnej</t>
  </si>
  <si>
    <t>wpływy z opłaty targowej</t>
  </si>
  <si>
    <t>inne cele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</si>
  <si>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</si>
  <si>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</si>
  <si>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</si>
  <si>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</si>
  <si>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</si>
  <si>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</si>
  <si>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</si>
  <si>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</si>
  <si>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</si>
  <si>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</si>
  <si>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</si>
  <si>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</si>
  <si>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</si>
  <si>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</si>
  <si>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</si>
  <si>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</si>
  <si>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</si>
  <si>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</si>
  <si>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</si>
  <si>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</si>
  <si>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</si>
  <si>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</si>
  <si>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</si>
  <si>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</si>
  <si>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#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</si>
  <si>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</si>
  <si>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</si>
  <si>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</si>
  <si>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</si>
  <si>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</si>
  <si>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</si>
  <si>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</si>
  <si>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</si>
  <si>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</si>
  <si>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</si>
  <si>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</si>
  <si>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</si>
  <si>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majątkowe</t>
  </si>
  <si>
    <t>bieżące</t>
  </si>
  <si>
    <t>UE</t>
  </si>
  <si>
    <t>wydatki majątkowe</t>
  </si>
  <si>
    <t>wydatki bieżące</t>
  </si>
  <si>
    <t>w złotych</t>
  </si>
  <si>
    <t>z tytułu pomocy finansowej udzielanej między jst na dofinansowanie własnych zadań</t>
  </si>
  <si>
    <t>inne źródła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</si>
  <si>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</si>
  <si>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</si>
  <si>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</si>
  <si>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</si>
  <si>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</si>
  <si>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ze sprzedaży papierów wartościowych</t>
  </si>
  <si>
    <t>spłata  udzielonych pożyczek</t>
  </si>
  <si>
    <t>prywatyzacja majątku JST</t>
  </si>
  <si>
    <t>wykup papierów wartościowych</t>
  </si>
  <si>
    <t>udzielone pożyczki</t>
  </si>
  <si>
    <t>Dotacje §§ 200 i 620</t>
  </si>
  <si>
    <t>w tym: inwestycyjne § 620</t>
  </si>
  <si>
    <t>Dotacje §§ 205 i 625</t>
  </si>
  <si>
    <t>w tym: inwestycyjne § 625</t>
  </si>
  <si>
    <t>otrzymane ze środków z Funduszu Przeciwdziałania COVID-19 (m.in. z Rządowego Funduszu Inwestycji Lokalnych)</t>
  </si>
  <si>
    <t>wolne środki, o których mowa w art. 217 ust. 2 pkt 6 ustawy o finansach publicznych</t>
  </si>
  <si>
    <t>na finansowanie lub dofinansowanie zadań inwestycyjnych obiektów zabytkowych oraz prac remontowych i konserwatorskich przy zabytkach</t>
  </si>
  <si>
    <t>w tym: inwestycyjne</t>
  </si>
  <si>
    <t>spłaty udzielonych pożyczek w latach ubiegłych</t>
  </si>
  <si>
    <t>niewykorzystane środki pieniężne o których mowa w art. 217 ust. 2 pkt. 8 ustawy o finansach publicznych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</si>
  <si>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</si>
  <si>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</si>
  <si>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nadwyżka z lat ubiegłych, pomniejszona o niewykorzystane środki pieniężne, o których mowa w art. 217 ust. 2 pkt 8 ustawy o finansach publicznych</t>
  </si>
  <si>
    <t>Dotacje ogółem 
z tego:</t>
  </si>
  <si>
    <t>spłaty kredytów i pożyczek, wykup papierów wartościowych 
w tym: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</si>
  <si>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</si>
  <si>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Dochody bieżące 
minus 
wydatki bieżące</t>
  </si>
  <si>
    <t>FINANSOWANIE DEFICYTU (E1+E2+E3+E4+E5+E6+E7)  
z tego:</t>
  </si>
  <si>
    <t>Wydatki ogółem UE 
z tego:</t>
  </si>
  <si>
    <t>kredyty, pożyczki, emisja papierów wartościowych
w tym: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</si>
</sst>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5" formatCode="dd/mm/yy\ h:mm;@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4" fillId="0" borderId="0"/>
  </cellStyleXfs>
  <cellXfs count="130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4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6" fillId="0" borderId="0" xfId="0" applyNumberFormat="1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 indent="2"/>
    </xf>
    <xf numFmtId="0" fontId="2" fillId="0" borderId="1" xfId="0" applyFont="1" applyBorder="1"/>
    <xf numFmtId="164" fontId="12" fillId="3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/>
    </xf>
    <xf numFmtId="164" fontId="11" fillId="3" borderId="1" xfId="1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/>
    </xf>
    <xf numFmtId="4" fontId="11" fillId="3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" fontId="12" fillId="4" borderId="1" xfId="0" applyNumberFormat="1" applyFont="1" applyFill="1" applyBorder="1" applyAlignment="1">
      <alignment horizontal="right" vertical="center"/>
    </xf>
    <xf numFmtId="164" fontId="12" fillId="4" borderId="1" xfId="0" applyNumberFormat="1" applyFont="1" applyFill="1" applyBorder="1" applyAlignment="1">
      <alignment horizontal="right" vertical="center"/>
    </xf>
    <xf numFmtId="4" fontId="6" fillId="3" borderId="4" xfId="0" applyNumberFormat="1" applyFont="1" applyFill="1" applyBorder="1" applyAlignment="1">
      <alignment horizontal="right" vertical="center"/>
    </xf>
    <xf numFmtId="4" fontId="6" fillId="5" borderId="4" xfId="0" applyNumberFormat="1" applyFont="1" applyFill="1" applyBorder="1" applyAlignment="1">
      <alignment horizontal="right" vertical="center"/>
    </xf>
    <xf numFmtId="4" fontId="11" fillId="4" borderId="4" xfId="0" applyNumberFormat="1" applyFont="1" applyFill="1" applyBorder="1" applyAlignment="1">
      <alignment horizontal="right" vertical="center"/>
    </xf>
    <xf numFmtId="164" fontId="11" fillId="5" borderId="1" xfId="1" applyNumberFormat="1" applyFont="1" applyFill="1" applyBorder="1" applyAlignment="1">
      <alignment horizontal="right" vertical="center"/>
    </xf>
    <xf numFmtId="164" fontId="11" fillId="5" borderId="1" xfId="0" applyNumberFormat="1" applyFont="1" applyFill="1" applyBorder="1" applyAlignment="1">
      <alignment horizontal="right" vertical="center"/>
    </xf>
    <xf numFmtId="164" fontId="11" fillId="4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 indent="2"/>
    </xf>
    <xf numFmtId="164" fontId="4" fillId="4" borderId="1" xfId="0" applyNumberFormat="1" applyFont="1" applyFill="1" applyBorder="1" applyAlignment="1">
      <alignment horizontal="right" vertical="center"/>
    </xf>
    <xf numFmtId="164" fontId="5" fillId="4" borderId="1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164" fontId="11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4" fontId="12" fillId="0" borderId="0" xfId="0" applyNumberFormat="1" applyFont="1" applyFill="1" applyBorder="1" applyAlignment="1">
      <alignment horizontal="right" vertical="center" wrapText="1"/>
    </xf>
    <xf numFmtId="164" fontId="6" fillId="4" borderId="1" xfId="0" applyNumberFormat="1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164" fontId="11" fillId="0" borderId="1" xfId="1" applyNumberFormat="1" applyFont="1" applyFill="1" applyBorder="1" applyAlignment="1">
      <alignment horizontal="right" vertical="center"/>
    </xf>
    <xf numFmtId="0" fontId="6" fillId="0" borderId="1" xfId="0" applyFont="1" applyBorder="1"/>
    <xf numFmtId="4" fontId="4" fillId="0" borderId="1" xfId="0" applyNumberFormat="1" applyFont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4" fontId="11" fillId="4" borderId="1" xfId="0" applyNumberFormat="1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/>
    </xf>
    <xf numFmtId="4" fontId="4" fillId="0" borderId="4" xfId="0" applyNumberFormat="1" applyFont="1" applyFill="1" applyBorder="1" applyAlignment="1">
      <alignment vertical="center" wrapText="1"/>
    </xf>
    <xf numFmtId="4" fontId="6" fillId="5" borderId="1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164" fontId="5" fillId="4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 indent="3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right" vertical="center" wrapText="1" inden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top" wrapText="1"/>
    </xf>
    <xf numFmtId="0" fontId="13" fillId="0" borderId="0" xfId="0" applyFont="1" applyAlignment="1">
      <alignment vertical="center"/>
    </xf>
    <xf numFmtId="0" fontId="2" fillId="0" borderId="5" xfId="0" applyFont="1" applyBorder="1"/>
    <xf numFmtId="0" fontId="7" fillId="4" borderId="1" xfId="0" applyFont="1" applyFill="1" applyBorder="1" applyAlignment="1">
      <alignment horizontal="left" vertical="center" wrapText="1" indent="2"/>
    </xf>
    <xf numFmtId="0" fontId="4" fillId="0" borderId="1" xfId="0" applyFont="1" applyFill="1" applyBorder="1" applyAlignment="1">
      <alignment horizontal="left" vertical="center" wrapText="1" indent="4"/>
    </xf>
    <xf numFmtId="0" fontId="4" fillId="0" borderId="1" xfId="0" applyFont="1" applyBorder="1" applyAlignment="1">
      <alignment horizontal="left" vertical="center" wrapText="1" indent="4"/>
    </xf>
    <xf numFmtId="0" fontId="4" fillId="5" borderId="1" xfId="0" applyFont="1" applyFill="1" applyBorder="1" applyAlignment="1">
      <alignment horizontal="left" vertical="center" wrapText="1" indent="3"/>
    </xf>
    <xf numFmtId="0" fontId="15" fillId="0" borderId="1" xfId="3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2"/>
    </xf>
    <xf numFmtId="0" fontId="6" fillId="0" borderId="1" xfId="0" applyFont="1" applyFill="1" applyBorder="1" applyAlignment="1">
      <alignment horizontal="left" vertical="center" wrapText="1" indent="1"/>
    </xf>
    <xf numFmtId="0" fontId="15" fillId="4" borderId="1" xfId="2" applyFont="1" applyFill="1" applyBorder="1" applyAlignment="1">
      <alignment horizontal="left" vertical="center" wrapText="1"/>
    </xf>
    <xf numFmtId="0" fontId="15" fillId="0" borderId="1" xfId="2" applyFont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</cellXfs>
  <cellStyles count="4">
    <cellStyle name="Dziesiętny" xfId="1" builtinId="3"/>
    <cellStyle name="Normalny" xfId="0" builtinId="0"/>
    <cellStyle name="Normalny 2" xfId="2"/>
    <cellStyle name="Normalny 2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13"/>
  <sheetViews>
    <sheetView tabSelected="1" topLeftCell="B1" zoomScaleNormal="100" workbookViewId="0">
      <selection activeCell="B3" sqref="B3:B4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7" width="13" style="1" customWidth="1" outlineLevel="1"/>
    <col min="8" max="8" width="11.85546875" style="1" customWidth="1" outlineLevel="1"/>
    <col min="9" max="9" width="13" style="1" customWidth="1" outlineLevel="1"/>
    <col min="10" max="10" width="12.7109375" style="1" customWidth="1"/>
    <col min="11" max="11" width="7.42578125" style="1" customWidth="1"/>
    <col min="12" max="13" width="8.140625" style="1" customWidth="1"/>
    <col min="14" max="16384" width="9.140625" style="1"/>
  </cols>
  <sheetData>
    <row r="1" spans="2:13" ht="15" x14ac:dyDescent="0.2">
      <c r="B1" s="92" t="str">
        <f>CONCATENATE("Informacja z wykonania budżetów gmin za ",$D$111," ",$C$112," rok")</f>
        <v>Informacja z wykonania budżetów gmin za I Kwartał 2022 rok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2:13" ht="0.75" customHeight="1" x14ac:dyDescent="0.2"/>
    <row r="3" spans="2:13" ht="69" customHeight="1" x14ac:dyDescent="0.2">
      <c r="B3" s="105" t="s">
        <v>0</v>
      </c>
      <c r="C3" s="15" t="s">
        <v>36</v>
      </c>
      <c r="D3" s="15" t="s">
        <v>37</v>
      </c>
      <c r="E3" s="15" t="s">
        <v>38</v>
      </c>
      <c r="F3" s="15" t="s">
        <v>39</v>
      </c>
      <c r="G3" s="15" t="s">
        <v>40</v>
      </c>
      <c r="H3" s="15" t="s">
        <v>41</v>
      </c>
      <c r="I3" s="15" t="s">
        <v>42</v>
      </c>
      <c r="J3" s="17" t="s">
        <v>2</v>
      </c>
      <c r="K3" s="15" t="s">
        <v>18</v>
      </c>
      <c r="L3" s="15" t="s">
        <v>3</v>
      </c>
    </row>
    <row r="4" spans="2:13" x14ac:dyDescent="0.2">
      <c r="B4" s="105"/>
      <c r="C4" s="116" t="s">
        <v>76</v>
      </c>
      <c r="D4" s="117"/>
      <c r="E4" s="117"/>
      <c r="F4" s="117"/>
      <c r="G4" s="117"/>
      <c r="H4" s="117"/>
      <c r="I4" s="118"/>
      <c r="J4" s="106" t="s">
        <v>4</v>
      </c>
      <c r="K4" s="106"/>
      <c r="L4" s="106"/>
    </row>
    <row r="5" spans="2:13" x14ac:dyDescent="0.2">
      <c r="B5" s="17">
        <v>1</v>
      </c>
      <c r="C5" s="19">
        <v>2</v>
      </c>
      <c r="D5" s="19">
        <v>3</v>
      </c>
      <c r="E5" s="19">
        <v>4</v>
      </c>
      <c r="F5" s="19">
        <v>5</v>
      </c>
      <c r="G5" s="19">
        <v>6</v>
      </c>
      <c r="H5" s="19">
        <v>7</v>
      </c>
      <c r="I5" s="19">
        <v>8</v>
      </c>
      <c r="J5" s="19">
        <v>9</v>
      </c>
      <c r="K5" s="19">
        <v>10</v>
      </c>
      <c r="L5" s="19">
        <v>11</v>
      </c>
    </row>
    <row r="6" spans="2:13" x14ac:dyDescent="0.2">
      <c r="B6" s="84" t="s">
        <v>5</v>
      </c>
      <c r="C6" s="45">
        <f>145267840106.51</f>
        <v>145267840106.51001</v>
      </c>
      <c r="D6" s="45">
        <f>43427795060.72</f>
        <v>43427795060.720001</v>
      </c>
      <c r="E6" s="45">
        <f>839382644.73</f>
        <v>839382644.73000002</v>
      </c>
      <c r="F6" s="45">
        <f>229918446.63</f>
        <v>229918446.63</v>
      </c>
      <c r="G6" s="45">
        <f>24915358.41</f>
        <v>24915358.41</v>
      </c>
      <c r="H6" s="45">
        <f>57581718.54</f>
        <v>57581718.539999999</v>
      </c>
      <c r="I6" s="45">
        <f>2560526.55</f>
        <v>2560526.5499999998</v>
      </c>
      <c r="J6" s="46">
        <f t="shared" ref="J6:J53" si="0">IF($D$6=0,"",100*$D6/$D$6)</f>
        <v>100</v>
      </c>
      <c r="K6" s="46">
        <f t="shared" ref="K6:K49" si="1">IF(C6=0,"",100*D6/C6)</f>
        <v>29.894982281610886</v>
      </c>
      <c r="L6" s="46"/>
    </row>
    <row r="7" spans="2:13" ht="25.5" customHeight="1" x14ac:dyDescent="0.2">
      <c r="B7" s="85" t="s">
        <v>59</v>
      </c>
      <c r="C7" s="25">
        <f>C6-C22-C44</f>
        <v>68252178611.010017</v>
      </c>
      <c r="D7" s="25">
        <f>D6-D22-D44</f>
        <v>18632277428.770004</v>
      </c>
      <c r="E7" s="25">
        <f>E6</f>
        <v>839382644.73000002</v>
      </c>
      <c r="F7" s="25">
        <f>F6</f>
        <v>229918446.63</v>
      </c>
      <c r="G7" s="25">
        <f>G6</f>
        <v>24915358.41</v>
      </c>
      <c r="H7" s="25">
        <f>H6</f>
        <v>57581718.539999999</v>
      </c>
      <c r="I7" s="25">
        <f>I6</f>
        <v>2560526.5499999998</v>
      </c>
      <c r="J7" s="34">
        <f t="shared" si="0"/>
        <v>42.904037386007445</v>
      </c>
      <c r="K7" s="34">
        <f t="shared" si="1"/>
        <v>27.299168770803693</v>
      </c>
      <c r="L7" s="34">
        <f t="shared" ref="L7:L21" si="2">IF($D$7=0,"",100*$D7/$D$7)</f>
        <v>100</v>
      </c>
    </row>
    <row r="8" spans="2:13" ht="22.5" customHeight="1" outlineLevel="1" x14ac:dyDescent="0.2">
      <c r="B8" s="54" t="s">
        <v>35</v>
      </c>
      <c r="C8" s="24">
        <f>1518922176</f>
        <v>1518922176</v>
      </c>
      <c r="D8" s="24">
        <f>368556731.43</f>
        <v>368556731.43000001</v>
      </c>
      <c r="E8" s="24">
        <f>0</f>
        <v>0</v>
      </c>
      <c r="F8" s="24">
        <f>0</f>
        <v>0</v>
      </c>
      <c r="G8" s="24">
        <f>0</f>
        <v>0</v>
      </c>
      <c r="H8" s="24">
        <f>0</f>
        <v>0</v>
      </c>
      <c r="I8" s="24">
        <f>0</f>
        <v>0</v>
      </c>
      <c r="J8" s="35">
        <f t="shared" si="0"/>
        <v>0.84866553992596283</v>
      </c>
      <c r="K8" s="35">
        <f t="shared" si="1"/>
        <v>24.264359112892432</v>
      </c>
      <c r="L8" s="35">
        <f t="shared" si="2"/>
        <v>1.9780551939448552</v>
      </c>
    </row>
    <row r="9" spans="2:13" ht="22.5" customHeight="1" outlineLevel="1" x14ac:dyDescent="0.2">
      <c r="B9" s="54" t="s">
        <v>19</v>
      </c>
      <c r="C9" s="24">
        <f>22527077204.4</f>
        <v>22527077204.400002</v>
      </c>
      <c r="D9" s="24">
        <f>5629202001</f>
        <v>5629202001</v>
      </c>
      <c r="E9" s="24">
        <f>0</f>
        <v>0</v>
      </c>
      <c r="F9" s="24">
        <f>0</f>
        <v>0</v>
      </c>
      <c r="G9" s="24">
        <f>0</f>
        <v>0</v>
      </c>
      <c r="H9" s="24">
        <f>0</f>
        <v>0</v>
      </c>
      <c r="I9" s="24">
        <f>0</f>
        <v>0</v>
      </c>
      <c r="J9" s="35">
        <f t="shared" si="0"/>
        <v>12.96221001579598</v>
      </c>
      <c r="K9" s="35">
        <f t="shared" si="1"/>
        <v>24.988603492247549</v>
      </c>
      <c r="L9" s="35">
        <f t="shared" si="2"/>
        <v>30.212098453987046</v>
      </c>
    </row>
    <row r="10" spans="2:13" ht="13.5" customHeight="1" outlineLevel="1" x14ac:dyDescent="0.2">
      <c r="B10" s="54" t="s">
        <v>20</v>
      </c>
      <c r="C10" s="24">
        <f>1731480582.69</f>
        <v>1731480582.6900001</v>
      </c>
      <c r="D10" s="24">
        <f>656783066.92</f>
        <v>656783066.91999996</v>
      </c>
      <c r="E10" s="24">
        <f>41830870.47</f>
        <v>41830870.469999999</v>
      </c>
      <c r="F10" s="24">
        <f>608160.02</f>
        <v>608160.02</v>
      </c>
      <c r="G10" s="24">
        <f>652098.18</f>
        <v>652098.18000000005</v>
      </c>
      <c r="H10" s="24">
        <f>682010.7</f>
        <v>682010.7</v>
      </c>
      <c r="I10" s="24">
        <f>404067.12</f>
        <v>404067.12</v>
      </c>
      <c r="J10" s="35">
        <f t="shared" si="0"/>
        <v>1.5123564666400793</v>
      </c>
      <c r="K10" s="35">
        <f t="shared" si="1"/>
        <v>37.931875961301998</v>
      </c>
      <c r="L10" s="35">
        <f t="shared" si="2"/>
        <v>3.5249747081688714</v>
      </c>
    </row>
    <row r="11" spans="2:13" ht="13.5" customHeight="1" outlineLevel="1" x14ac:dyDescent="0.2">
      <c r="B11" s="54" t="s">
        <v>21</v>
      </c>
      <c r="C11" s="24">
        <f>17083235800.9</f>
        <v>17083235800.9</v>
      </c>
      <c r="D11" s="53">
        <f>5045934836.93</f>
        <v>5045934836.9300003</v>
      </c>
      <c r="E11" s="24">
        <f>534549695.45</f>
        <v>534549695.44999999</v>
      </c>
      <c r="F11" s="24">
        <f>183793813.18</f>
        <v>183793813.18000001</v>
      </c>
      <c r="G11" s="24">
        <f>19593399.01</f>
        <v>19593399.010000002</v>
      </c>
      <c r="H11" s="24">
        <f>43778763.47</f>
        <v>43778763.469999999</v>
      </c>
      <c r="I11" s="24">
        <f>1544576.68</f>
        <v>1544576.68</v>
      </c>
      <c r="J11" s="35">
        <f t="shared" si="0"/>
        <v>11.619136614868104</v>
      </c>
      <c r="K11" s="35">
        <f t="shared" si="1"/>
        <v>29.537348168338013</v>
      </c>
      <c r="L11" s="35">
        <f t="shared" si="2"/>
        <v>27.081685833738167</v>
      </c>
    </row>
    <row r="12" spans="2:13" ht="13.5" customHeight="1" outlineLevel="1" x14ac:dyDescent="0.2">
      <c r="B12" s="54" t="s">
        <v>22</v>
      </c>
      <c r="C12" s="24">
        <f>321241164.72</f>
        <v>321241164.72000003</v>
      </c>
      <c r="D12" s="53">
        <f>104881875.22</f>
        <v>104881875.22</v>
      </c>
      <c r="E12" s="24">
        <f>1218488.21</f>
        <v>1218488.21</v>
      </c>
      <c r="F12" s="24">
        <f>173973.2</f>
        <v>173973.2</v>
      </c>
      <c r="G12" s="24">
        <f>30107.45</f>
        <v>30107.45</v>
      </c>
      <c r="H12" s="24">
        <f>9035.23</f>
        <v>9035.23</v>
      </c>
      <c r="I12" s="24">
        <f>12821.65</f>
        <v>12821.65</v>
      </c>
      <c r="J12" s="35">
        <f t="shared" si="0"/>
        <v>0.24150863536441569</v>
      </c>
      <c r="K12" s="35">
        <f t="shared" si="1"/>
        <v>32.648952481359935</v>
      </c>
      <c r="L12" s="35">
        <f t="shared" si="2"/>
        <v>0.56290421619663322</v>
      </c>
    </row>
    <row r="13" spans="2:13" ht="13.5" customHeight="1" outlineLevel="1" x14ac:dyDescent="0.2">
      <c r="B13" s="54" t="s">
        <v>23</v>
      </c>
      <c r="C13" s="24">
        <f>935600071.9</f>
        <v>935600071.89999998</v>
      </c>
      <c r="D13" s="53">
        <f>415665999.91</f>
        <v>415665999.91000003</v>
      </c>
      <c r="E13" s="24">
        <f>256379098.34</f>
        <v>256379098.34</v>
      </c>
      <c r="F13" s="24">
        <f>1043856.82</f>
        <v>1043856.82</v>
      </c>
      <c r="G13" s="24">
        <f>953170</f>
        <v>953170</v>
      </c>
      <c r="H13" s="24">
        <f>4832652.06</f>
        <v>4832652.0599999996</v>
      </c>
      <c r="I13" s="24">
        <f>13922.44</f>
        <v>13922.44</v>
      </c>
      <c r="J13" s="35">
        <f t="shared" si="0"/>
        <v>0.95714276842474477</v>
      </c>
      <c r="K13" s="35">
        <f t="shared" si="1"/>
        <v>44.42774347653404</v>
      </c>
      <c r="L13" s="35">
        <f t="shared" si="2"/>
        <v>2.2308920715627187</v>
      </c>
    </row>
    <row r="14" spans="2:13" ht="33.950000000000003" customHeight="1" outlineLevel="1" x14ac:dyDescent="0.2">
      <c r="B14" s="54" t="s">
        <v>44</v>
      </c>
      <c r="C14" s="24">
        <f>71362955.37</f>
        <v>71362955.370000005</v>
      </c>
      <c r="D14" s="53">
        <f>15425698.6</f>
        <v>15425698.6</v>
      </c>
      <c r="E14" s="24">
        <f>0</f>
        <v>0</v>
      </c>
      <c r="F14" s="24">
        <f>0</f>
        <v>0</v>
      </c>
      <c r="G14" s="24">
        <f>9046.4</f>
        <v>9046.4</v>
      </c>
      <c r="H14" s="24">
        <f>57316.25</f>
        <v>57316.25</v>
      </c>
      <c r="I14" s="24">
        <f>0</f>
        <v>0</v>
      </c>
      <c r="J14" s="35">
        <f t="shared" si="0"/>
        <v>3.5520335716865317E-2</v>
      </c>
      <c r="K14" s="35">
        <f t="shared" si="1"/>
        <v>21.615834882428018</v>
      </c>
      <c r="L14" s="35">
        <f t="shared" si="2"/>
        <v>8.2790193839542434E-2</v>
      </c>
    </row>
    <row r="15" spans="2:13" ht="13.5" customHeight="1" outlineLevel="1" x14ac:dyDescent="0.2">
      <c r="B15" s="54" t="s">
        <v>28</v>
      </c>
      <c r="C15" s="24">
        <f>141840673.82</f>
        <v>141840673.81999999</v>
      </c>
      <c r="D15" s="53">
        <f>62586828.67</f>
        <v>62586828.670000002</v>
      </c>
      <c r="E15" s="24">
        <f>0</f>
        <v>0</v>
      </c>
      <c r="F15" s="24">
        <f>0</f>
        <v>0</v>
      </c>
      <c r="G15" s="24">
        <f>1144856.01</f>
        <v>1144856.01</v>
      </c>
      <c r="H15" s="24">
        <f>2847996.48</f>
        <v>2847996.48</v>
      </c>
      <c r="I15" s="24">
        <f>0</f>
        <v>0</v>
      </c>
      <c r="J15" s="35">
        <f t="shared" si="0"/>
        <v>0.14411698448537894</v>
      </c>
      <c r="K15" s="35">
        <f t="shared" si="1"/>
        <v>44.124740093539415</v>
      </c>
      <c r="L15" s="35">
        <f t="shared" si="2"/>
        <v>0.33590541418924985</v>
      </c>
    </row>
    <row r="16" spans="2:13" ht="22.5" customHeight="1" outlineLevel="1" x14ac:dyDescent="0.2">
      <c r="B16" s="54" t="s">
        <v>29</v>
      </c>
      <c r="C16" s="24">
        <f>1603314015.11</f>
        <v>1603314015.1099999</v>
      </c>
      <c r="D16" s="53">
        <f>562653368.24</f>
        <v>562653368.24000001</v>
      </c>
      <c r="E16" s="24">
        <f>0</f>
        <v>0</v>
      </c>
      <c r="F16" s="24">
        <f>0</f>
        <v>0</v>
      </c>
      <c r="G16" s="24">
        <f>73207</f>
        <v>73207</v>
      </c>
      <c r="H16" s="24">
        <f>255121.75</f>
        <v>255121.75</v>
      </c>
      <c r="I16" s="24">
        <f>0</f>
        <v>0</v>
      </c>
      <c r="J16" s="35">
        <f t="shared" si="0"/>
        <v>1.2956065751284578</v>
      </c>
      <c r="K16" s="35">
        <f t="shared" si="1"/>
        <v>35.093148499758954</v>
      </c>
      <c r="L16" s="35">
        <f t="shared" si="2"/>
        <v>3.0197777506855377</v>
      </c>
    </row>
    <row r="17" spans="2:12" ht="13.5" customHeight="1" outlineLevel="1" x14ac:dyDescent="0.2">
      <c r="B17" s="54" t="s">
        <v>30</v>
      </c>
      <c r="C17" s="24">
        <f>198282286.58</f>
        <v>198282286.58000001</v>
      </c>
      <c r="D17" s="53">
        <f>50747749.33</f>
        <v>50747749.329999998</v>
      </c>
      <c r="E17" s="24">
        <f>0</f>
        <v>0</v>
      </c>
      <c r="F17" s="24">
        <f>0</f>
        <v>0</v>
      </c>
      <c r="G17" s="24">
        <f>127</f>
        <v>127</v>
      </c>
      <c r="H17" s="24">
        <f>1320.82</f>
        <v>1320.82</v>
      </c>
      <c r="I17" s="24">
        <f>5435.5</f>
        <v>5435.5</v>
      </c>
      <c r="J17" s="35">
        <f t="shared" si="0"/>
        <v>0.11685545918010658</v>
      </c>
      <c r="K17" s="35">
        <f t="shared" si="1"/>
        <v>25.593687769746918</v>
      </c>
      <c r="L17" s="35">
        <f t="shared" si="2"/>
        <v>0.27236471507042215</v>
      </c>
    </row>
    <row r="18" spans="2:12" ht="13.5" customHeight="1" outlineLevel="1" x14ac:dyDescent="0.2">
      <c r="B18" s="54" t="s">
        <v>31</v>
      </c>
      <c r="C18" s="24">
        <f>403406074.92</f>
        <v>403406074.92000002</v>
      </c>
      <c r="D18" s="53">
        <f>204836651.28</f>
        <v>204836651.28</v>
      </c>
      <c r="E18" s="24">
        <f>0</f>
        <v>0</v>
      </c>
      <c r="F18" s="24">
        <f>0</f>
        <v>0</v>
      </c>
      <c r="G18" s="24">
        <f>0</f>
        <v>0</v>
      </c>
      <c r="H18" s="24">
        <f>1058748.3</f>
        <v>1058748.3</v>
      </c>
      <c r="I18" s="24">
        <f>0</f>
        <v>0</v>
      </c>
      <c r="J18" s="35">
        <f t="shared" si="0"/>
        <v>0.47167177378819464</v>
      </c>
      <c r="K18" s="35">
        <f t="shared" si="1"/>
        <v>50.776788951584685</v>
      </c>
      <c r="L18" s="35">
        <f t="shared" si="2"/>
        <v>1.0993645412541613</v>
      </c>
    </row>
    <row r="19" spans="2:12" ht="13.5" customHeight="1" outlineLevel="1" x14ac:dyDescent="0.2">
      <c r="B19" s="54" t="s">
        <v>32</v>
      </c>
      <c r="C19" s="24">
        <f>110624327.75</f>
        <v>110624327.75</v>
      </c>
      <c r="D19" s="53">
        <f>13887197.42</f>
        <v>13887197.42</v>
      </c>
      <c r="E19" s="24">
        <f>242106.52</f>
        <v>242106.52</v>
      </c>
      <c r="F19" s="24">
        <f>3900</f>
        <v>3900</v>
      </c>
      <c r="G19" s="24">
        <f>0</f>
        <v>0</v>
      </c>
      <c r="H19" s="24">
        <f>112466.67</f>
        <v>112466.67</v>
      </c>
      <c r="I19" s="24">
        <f>0</f>
        <v>0</v>
      </c>
      <c r="J19" s="35">
        <f t="shared" si="0"/>
        <v>3.1977670983717128E-2</v>
      </c>
      <c r="K19" s="35">
        <f t="shared" si="1"/>
        <v>12.55347508315141</v>
      </c>
      <c r="L19" s="35">
        <f t="shared" si="2"/>
        <v>7.4533011184971132E-2</v>
      </c>
    </row>
    <row r="20" spans="2:12" ht="13.5" customHeight="1" outlineLevel="1" x14ac:dyDescent="0.2">
      <c r="B20" s="54" t="s">
        <v>24</v>
      </c>
      <c r="C20" s="24">
        <f>4843422752.37</f>
        <v>4843422752.3699999</v>
      </c>
      <c r="D20" s="53">
        <f>1132861328.29</f>
        <v>1132861328.29</v>
      </c>
      <c r="E20" s="24">
        <f>0</f>
        <v>0</v>
      </c>
      <c r="F20" s="24">
        <f>29385.74</f>
        <v>29385.74</v>
      </c>
      <c r="G20" s="24">
        <f>986.08</f>
        <v>986.08</v>
      </c>
      <c r="H20" s="24">
        <f>144026.14</f>
        <v>144026.14000000001</v>
      </c>
      <c r="I20" s="24">
        <f>4840.65</f>
        <v>4840.6499999999996</v>
      </c>
      <c r="J20" s="35">
        <f t="shared" si="0"/>
        <v>2.6086089029066586</v>
      </c>
      <c r="K20" s="35">
        <f t="shared" si="1"/>
        <v>23.389685067975215</v>
      </c>
      <c r="L20" s="35">
        <f t="shared" si="2"/>
        <v>6.080101225525735</v>
      </c>
    </row>
    <row r="21" spans="2:12" ht="13.5" customHeight="1" outlineLevel="1" x14ac:dyDescent="0.2">
      <c r="B21" s="54" t="s">
        <v>25</v>
      </c>
      <c r="C21" s="24">
        <f>C7-C8-C9-C10-C11-C12-C13-C14-C15-C16-C17-C18-C19-C20</f>
        <v>16762368524.480011</v>
      </c>
      <c r="D21" s="24">
        <f t="shared" ref="D21:I21" si="3">D7-D8-D9-D10-D11-D12-D13-D14-D15-D16-D17-D18-D19-D20</f>
        <v>4368254095.5300035</v>
      </c>
      <c r="E21" s="24">
        <f t="shared" si="3"/>
        <v>5162385.7399999909</v>
      </c>
      <c r="F21" s="24">
        <f t="shared" si="3"/>
        <v>44265357.669999972</v>
      </c>
      <c r="G21" s="24">
        <f t="shared" si="3"/>
        <v>2458361.2799999984</v>
      </c>
      <c r="H21" s="24">
        <f t="shared" si="3"/>
        <v>3802260.6699999976</v>
      </c>
      <c r="I21" s="24">
        <f t="shared" si="3"/>
        <v>574862.50999999978</v>
      </c>
      <c r="J21" s="35">
        <f t="shared" si="0"/>
        <v>10.058659642798778</v>
      </c>
      <c r="K21" s="35">
        <f t="shared" si="1"/>
        <v>26.059885804029072</v>
      </c>
      <c r="L21" s="35">
        <f t="shared" si="2"/>
        <v>23.444552670652087</v>
      </c>
    </row>
    <row r="22" spans="2:12" ht="27" customHeight="1" x14ac:dyDescent="0.2">
      <c r="B22" s="85" t="s">
        <v>102</v>
      </c>
      <c r="C22" s="45">
        <f>C23+C40+C42</f>
        <v>43716937281.899994</v>
      </c>
      <c r="D22" s="45">
        <f>D23+D40+D42</f>
        <v>13234865957.949999</v>
      </c>
      <c r="E22" s="41" t="s">
        <v>58</v>
      </c>
      <c r="F22" s="41" t="s">
        <v>58</v>
      </c>
      <c r="G22" s="41" t="s">
        <v>58</v>
      </c>
      <c r="H22" s="41" t="s">
        <v>58</v>
      </c>
      <c r="I22" s="41" t="s">
        <v>58</v>
      </c>
      <c r="J22" s="46">
        <f t="shared" si="0"/>
        <v>30.475565106276374</v>
      </c>
      <c r="K22" s="46">
        <f t="shared" si="1"/>
        <v>30.274000835437288</v>
      </c>
      <c r="L22" s="29"/>
    </row>
    <row r="23" spans="2:12" ht="27" customHeight="1" outlineLevel="1" x14ac:dyDescent="0.2">
      <c r="B23" s="94" t="s">
        <v>60</v>
      </c>
      <c r="C23" s="45">
        <f>C24+C26+C28+C30+C32+C34+C36+C38</f>
        <v>35522747043.919998</v>
      </c>
      <c r="D23" s="45">
        <f>D24+D26+D28+D30+D32+D34+D36+D38</f>
        <v>12053336271.139999</v>
      </c>
      <c r="E23" s="41" t="s">
        <v>58</v>
      </c>
      <c r="F23" s="41" t="s">
        <v>58</v>
      </c>
      <c r="G23" s="41" t="s">
        <v>58</v>
      </c>
      <c r="H23" s="41" t="s">
        <v>58</v>
      </c>
      <c r="I23" s="41" t="s">
        <v>58</v>
      </c>
      <c r="J23" s="46">
        <f t="shared" si="0"/>
        <v>27.754888900731043</v>
      </c>
      <c r="K23" s="46">
        <f t="shared" si="1"/>
        <v>33.931318026270226</v>
      </c>
      <c r="L23" s="29"/>
    </row>
    <row r="24" spans="2:12" ht="22.5" customHeight="1" outlineLevel="1" x14ac:dyDescent="0.2">
      <c r="B24" s="83" t="s">
        <v>9</v>
      </c>
      <c r="C24" s="24">
        <f>22776529374.24</f>
        <v>22776529374.240002</v>
      </c>
      <c r="D24" s="24">
        <f>10768356192.03</f>
        <v>10768356192.030001</v>
      </c>
      <c r="E24" s="24" t="s">
        <v>58</v>
      </c>
      <c r="F24" s="24" t="s">
        <v>58</v>
      </c>
      <c r="G24" s="24" t="s">
        <v>58</v>
      </c>
      <c r="H24" s="24" t="s">
        <v>58</v>
      </c>
      <c r="I24" s="24" t="s">
        <v>58</v>
      </c>
      <c r="J24" s="35">
        <f t="shared" si="0"/>
        <v>24.796000296524081</v>
      </c>
      <c r="K24" s="35">
        <f t="shared" si="1"/>
        <v>47.278301338609083</v>
      </c>
      <c r="L24" s="29"/>
    </row>
    <row r="25" spans="2:12" ht="13.5" customHeight="1" outlineLevel="1" x14ac:dyDescent="0.2">
      <c r="B25" s="95" t="s">
        <v>6</v>
      </c>
      <c r="C25" s="24">
        <f>2397353.31</f>
        <v>2397353.31</v>
      </c>
      <c r="D25" s="24">
        <f>1200000</f>
        <v>1200000</v>
      </c>
      <c r="E25" s="24" t="s">
        <v>58</v>
      </c>
      <c r="F25" s="24" t="s">
        <v>58</v>
      </c>
      <c r="G25" s="24" t="s">
        <v>58</v>
      </c>
      <c r="H25" s="24" t="s">
        <v>58</v>
      </c>
      <c r="I25" s="24" t="s">
        <v>58</v>
      </c>
      <c r="J25" s="35">
        <f t="shared" si="0"/>
        <v>2.7632072922932896E-3</v>
      </c>
      <c r="K25" s="35">
        <f t="shared" si="1"/>
        <v>50.055200249144754</v>
      </c>
      <c r="L25" s="29"/>
    </row>
    <row r="26" spans="2:12" ht="13.5" customHeight="1" outlineLevel="1" x14ac:dyDescent="0.2">
      <c r="B26" s="83" t="s">
        <v>7</v>
      </c>
      <c r="C26" s="24">
        <f>3204813314.64</f>
        <v>3204813314.6399999</v>
      </c>
      <c r="D26" s="24">
        <f>762158963.25</f>
        <v>762158963.25</v>
      </c>
      <c r="E26" s="24" t="s">
        <v>58</v>
      </c>
      <c r="F26" s="24" t="s">
        <v>58</v>
      </c>
      <c r="G26" s="24" t="s">
        <v>58</v>
      </c>
      <c r="H26" s="24" t="s">
        <v>58</v>
      </c>
      <c r="I26" s="24" t="s">
        <v>58</v>
      </c>
      <c r="J26" s="35">
        <f t="shared" si="0"/>
        <v>1.7550026709492443</v>
      </c>
      <c r="K26" s="35">
        <f t="shared" si="1"/>
        <v>23.78169610592791</v>
      </c>
      <c r="L26" s="29"/>
    </row>
    <row r="27" spans="2:12" ht="13.5" customHeight="1" outlineLevel="1" x14ac:dyDescent="0.2">
      <c r="B27" s="95" t="s">
        <v>6</v>
      </c>
      <c r="C27" s="24">
        <f>407218345.65</f>
        <v>407218345.64999998</v>
      </c>
      <c r="D27" s="24">
        <f>22260755.14</f>
        <v>22260755.140000001</v>
      </c>
      <c r="E27" s="24" t="s">
        <v>58</v>
      </c>
      <c r="F27" s="24" t="s">
        <v>58</v>
      </c>
      <c r="G27" s="24" t="s">
        <v>58</v>
      </c>
      <c r="H27" s="24" t="s">
        <v>58</v>
      </c>
      <c r="I27" s="24" t="s">
        <v>58</v>
      </c>
      <c r="J27" s="35">
        <f t="shared" si="0"/>
        <v>5.1259234112336099E-2</v>
      </c>
      <c r="K27" s="35">
        <f t="shared" si="1"/>
        <v>5.4665403407765165</v>
      </c>
      <c r="L27" s="29"/>
    </row>
    <row r="28" spans="2:12" ht="35.1" customHeight="1" outlineLevel="1" x14ac:dyDescent="0.2">
      <c r="B28" s="83" t="s">
        <v>10</v>
      </c>
      <c r="C28" s="24">
        <f>55143635.39</f>
        <v>55143635.390000001</v>
      </c>
      <c r="D28" s="24">
        <f>17830586.38</f>
        <v>17830586.379999999</v>
      </c>
      <c r="E28" s="24" t="s">
        <v>58</v>
      </c>
      <c r="F28" s="24" t="s">
        <v>58</v>
      </c>
      <c r="G28" s="24" t="s">
        <v>58</v>
      </c>
      <c r="H28" s="24" t="s">
        <v>58</v>
      </c>
      <c r="I28" s="24" t="s">
        <v>58</v>
      </c>
      <c r="J28" s="35">
        <f t="shared" si="0"/>
        <v>4.1058005259234504E-2</v>
      </c>
      <c r="K28" s="35">
        <f t="shared" si="1"/>
        <v>32.334803924141497</v>
      </c>
      <c r="L28" s="29"/>
    </row>
    <row r="29" spans="2:12" ht="13.5" customHeight="1" outlineLevel="1" x14ac:dyDescent="0.2">
      <c r="B29" s="95" t="s">
        <v>6</v>
      </c>
      <c r="C29" s="24">
        <f>11989436.93</f>
        <v>11989436.93</v>
      </c>
      <c r="D29" s="24">
        <f>3148014</f>
        <v>3148014</v>
      </c>
      <c r="E29" s="24" t="s">
        <v>58</v>
      </c>
      <c r="F29" s="24" t="s">
        <v>58</v>
      </c>
      <c r="G29" s="24" t="s">
        <v>58</v>
      </c>
      <c r="H29" s="24" t="s">
        <v>58</v>
      </c>
      <c r="I29" s="24" t="s">
        <v>58</v>
      </c>
      <c r="J29" s="35">
        <f t="shared" si="0"/>
        <v>7.2488460342011391E-3</v>
      </c>
      <c r="K29" s="35">
        <f t="shared" si="1"/>
        <v>26.256562492297128</v>
      </c>
      <c r="L29" s="29"/>
    </row>
    <row r="30" spans="2:12" ht="24" customHeight="1" outlineLevel="1" x14ac:dyDescent="0.2">
      <c r="B30" s="83" t="s">
        <v>11</v>
      </c>
      <c r="C30" s="24">
        <f>516668735.33</f>
        <v>516668735.32999998</v>
      </c>
      <c r="D30" s="24">
        <f>88072804.15</f>
        <v>88072804.150000006</v>
      </c>
      <c r="E30" s="24" t="s">
        <v>58</v>
      </c>
      <c r="F30" s="24" t="s">
        <v>58</v>
      </c>
      <c r="G30" s="24" t="s">
        <v>58</v>
      </c>
      <c r="H30" s="24" t="s">
        <v>58</v>
      </c>
      <c r="I30" s="24" t="s">
        <v>58</v>
      </c>
      <c r="J30" s="35">
        <f t="shared" si="0"/>
        <v>0.20280284556666556</v>
      </c>
      <c r="K30" s="35">
        <f t="shared" si="1"/>
        <v>17.046280939323196</v>
      </c>
      <c r="L30" s="29"/>
    </row>
    <row r="31" spans="2:12" ht="13.5" customHeight="1" outlineLevel="1" x14ac:dyDescent="0.2">
      <c r="B31" s="95" t="s">
        <v>6</v>
      </c>
      <c r="C31" s="24">
        <f>170812920.2</f>
        <v>170812920.19999999</v>
      </c>
      <c r="D31" s="24">
        <f>6401555.12</f>
        <v>6401555.1200000001</v>
      </c>
      <c r="E31" s="24" t="s">
        <v>58</v>
      </c>
      <c r="F31" s="24" t="s">
        <v>58</v>
      </c>
      <c r="G31" s="24" t="s">
        <v>58</v>
      </c>
      <c r="H31" s="24" t="s">
        <v>58</v>
      </c>
      <c r="I31" s="24" t="s">
        <v>58</v>
      </c>
      <c r="J31" s="35">
        <f t="shared" si="0"/>
        <v>1.4740686491334537E-2</v>
      </c>
      <c r="K31" s="35">
        <f t="shared" si="1"/>
        <v>3.7476995958529375</v>
      </c>
      <c r="L31" s="29"/>
    </row>
    <row r="32" spans="2:12" ht="35.1" customHeight="1" outlineLevel="1" x14ac:dyDescent="0.2">
      <c r="B32" s="83" t="s">
        <v>77</v>
      </c>
      <c r="C32" s="24">
        <f>324712160.83</f>
        <v>324712160.82999998</v>
      </c>
      <c r="D32" s="24">
        <f>58199522.93</f>
        <v>58199522.93</v>
      </c>
      <c r="E32" s="24" t="s">
        <v>58</v>
      </c>
      <c r="F32" s="24" t="s">
        <v>58</v>
      </c>
      <c r="G32" s="24" t="s">
        <v>58</v>
      </c>
      <c r="H32" s="24" t="s">
        <v>58</v>
      </c>
      <c r="I32" s="24" t="s">
        <v>58</v>
      </c>
      <c r="J32" s="35">
        <f t="shared" si="0"/>
        <v>0.13401445514013877</v>
      </c>
      <c r="K32" s="35">
        <f t="shared" si="1"/>
        <v>17.923419554486539</v>
      </c>
      <c r="L32" s="29"/>
    </row>
    <row r="33" spans="2:12" ht="13.5" customHeight="1" outlineLevel="1" x14ac:dyDescent="0.2">
      <c r="B33" s="95" t="s">
        <v>6</v>
      </c>
      <c r="C33" s="24">
        <f>307424042.49</f>
        <v>307424042.49000001</v>
      </c>
      <c r="D33" s="24">
        <f>52492490.68</f>
        <v>52492490.68</v>
      </c>
      <c r="E33" s="24" t="s">
        <v>58</v>
      </c>
      <c r="F33" s="24" t="s">
        <v>58</v>
      </c>
      <c r="G33" s="24" t="s">
        <v>58</v>
      </c>
      <c r="H33" s="24" t="s">
        <v>58</v>
      </c>
      <c r="I33" s="24" t="s">
        <v>58</v>
      </c>
      <c r="J33" s="35">
        <f t="shared" si="0"/>
        <v>0.1208730275313446</v>
      </c>
      <c r="K33" s="35">
        <f t="shared" si="1"/>
        <v>17.074946466396653</v>
      </c>
      <c r="L33" s="29"/>
    </row>
    <row r="34" spans="2:12" ht="13.5" customHeight="1" outlineLevel="1" x14ac:dyDescent="0.2">
      <c r="B34" s="83" t="s">
        <v>8</v>
      </c>
      <c r="C34" s="24">
        <f>348795564.62</f>
        <v>348795564.62</v>
      </c>
      <c r="D34" s="24">
        <f>30738446.94</f>
        <v>30738446.940000001</v>
      </c>
      <c r="E34" s="24" t="s">
        <v>58</v>
      </c>
      <c r="F34" s="24" t="s">
        <v>58</v>
      </c>
      <c r="G34" s="24" t="s">
        <v>58</v>
      </c>
      <c r="H34" s="24" t="s">
        <v>58</v>
      </c>
      <c r="I34" s="24" t="s">
        <v>58</v>
      </c>
      <c r="J34" s="35">
        <f t="shared" si="0"/>
        <v>7.0780583948648626E-2</v>
      </c>
      <c r="K34" s="35">
        <f t="shared" si="1"/>
        <v>8.8127402002626987</v>
      </c>
      <c r="L34" s="29"/>
    </row>
    <row r="35" spans="2:12" ht="13.5" customHeight="1" outlineLevel="1" x14ac:dyDescent="0.2">
      <c r="B35" s="96" t="s">
        <v>6</v>
      </c>
      <c r="C35" s="22">
        <f>321409124.18</f>
        <v>321409124.18000001</v>
      </c>
      <c r="D35" s="22">
        <f>22575769.75</f>
        <v>22575769.75</v>
      </c>
      <c r="E35" s="24" t="s">
        <v>58</v>
      </c>
      <c r="F35" s="24" t="s">
        <v>58</v>
      </c>
      <c r="G35" s="24" t="s">
        <v>58</v>
      </c>
      <c r="H35" s="24" t="s">
        <v>58</v>
      </c>
      <c r="I35" s="24" t="s">
        <v>58</v>
      </c>
      <c r="J35" s="35">
        <f t="shared" si="0"/>
        <v>5.1984609668611875E-2</v>
      </c>
      <c r="K35" s="35">
        <f t="shared" si="1"/>
        <v>7.0239977808958542</v>
      </c>
      <c r="L35" s="29"/>
    </row>
    <row r="36" spans="2:12" ht="71.099999999999994" customHeight="1" outlineLevel="1" x14ac:dyDescent="0.2">
      <c r="B36" s="83" t="s">
        <v>95</v>
      </c>
      <c r="C36" s="22">
        <f>4848124.17</f>
        <v>4848124.17</v>
      </c>
      <c r="D36" s="22">
        <f>540000</f>
        <v>540000</v>
      </c>
      <c r="E36" s="24" t="s">
        <v>58</v>
      </c>
      <c r="F36" s="24" t="s">
        <v>58</v>
      </c>
      <c r="G36" s="24" t="s">
        <v>58</v>
      </c>
      <c r="H36" s="24" t="s">
        <v>58</v>
      </c>
      <c r="I36" s="24" t="s">
        <v>58</v>
      </c>
      <c r="J36" s="35">
        <f t="shared" si="0"/>
        <v>1.2434432815319801E-3</v>
      </c>
      <c r="K36" s="35">
        <f>IF(C36=0,"",100*D36/C36)</f>
        <v>11.138328579566888</v>
      </c>
      <c r="L36" s="29"/>
    </row>
    <row r="37" spans="2:12" ht="13.5" customHeight="1" outlineLevel="1" x14ac:dyDescent="0.2">
      <c r="B37" s="96" t="s">
        <v>96</v>
      </c>
      <c r="C37" s="22">
        <f>4621677</f>
        <v>4621677</v>
      </c>
      <c r="D37" s="22">
        <f>500000</f>
        <v>500000</v>
      </c>
      <c r="E37" s="24" t="s">
        <v>58</v>
      </c>
      <c r="F37" s="24" t="s">
        <v>58</v>
      </c>
      <c r="G37" s="24" t="s">
        <v>58</v>
      </c>
      <c r="H37" s="24" t="s">
        <v>58</v>
      </c>
      <c r="I37" s="24" t="s">
        <v>58</v>
      </c>
      <c r="J37" s="35">
        <f t="shared" si="0"/>
        <v>1.1513363717888705E-3</v>
      </c>
      <c r="K37" s="35">
        <f>IF(C37=0,"",100*D37/C37)</f>
        <v>10.818583817086308</v>
      </c>
      <c r="L37" s="29"/>
    </row>
    <row r="38" spans="2:12" ht="48" customHeight="1" outlineLevel="1" x14ac:dyDescent="0.2">
      <c r="B38" s="97" t="s">
        <v>93</v>
      </c>
      <c r="C38" s="22">
        <f>8291236134.7</f>
        <v>8291236134.6999998</v>
      </c>
      <c r="D38" s="22">
        <f>327439755.46</f>
        <v>327439755.45999998</v>
      </c>
      <c r="E38" s="24" t="s">
        <v>58</v>
      </c>
      <c r="F38" s="24" t="s">
        <v>58</v>
      </c>
      <c r="G38" s="24" t="s">
        <v>58</v>
      </c>
      <c r="H38" s="24" t="s">
        <v>58</v>
      </c>
      <c r="I38" s="24" t="s">
        <v>58</v>
      </c>
      <c r="J38" s="35">
        <f t="shared" si="0"/>
        <v>0.75398660006150275</v>
      </c>
      <c r="K38" s="35">
        <f t="shared" si="1"/>
        <v>3.9492272339177283</v>
      </c>
      <c r="L38" s="29"/>
    </row>
    <row r="39" spans="2:12" ht="13.5" customHeight="1" outlineLevel="1" x14ac:dyDescent="0.2">
      <c r="B39" s="96" t="s">
        <v>6</v>
      </c>
      <c r="C39" s="22">
        <f>8201849184.19</f>
        <v>8201849184.1899996</v>
      </c>
      <c r="D39" s="22">
        <f>259351940.17</f>
        <v>259351940.16999999</v>
      </c>
      <c r="E39" s="24" t="s">
        <v>58</v>
      </c>
      <c r="F39" s="24" t="s">
        <v>58</v>
      </c>
      <c r="G39" s="24" t="s">
        <v>58</v>
      </c>
      <c r="H39" s="24" t="s">
        <v>58</v>
      </c>
      <c r="I39" s="24" t="s">
        <v>58</v>
      </c>
      <c r="J39" s="35">
        <f t="shared" si="0"/>
        <v>0.59720264362346409</v>
      </c>
      <c r="K39" s="35">
        <f t="shared" si="1"/>
        <v>3.1621154491590806</v>
      </c>
      <c r="L39" s="29"/>
    </row>
    <row r="40" spans="2:12" outlineLevel="1" x14ac:dyDescent="0.2">
      <c r="B40" s="94" t="s">
        <v>89</v>
      </c>
      <c r="C40" s="45">
        <f>1084419141.75</f>
        <v>1084419141.75</v>
      </c>
      <c r="D40" s="45">
        <f>128511447</f>
        <v>128511447</v>
      </c>
      <c r="E40" s="41" t="s">
        <v>58</v>
      </c>
      <c r="F40" s="41" t="s">
        <v>58</v>
      </c>
      <c r="G40" s="41" t="s">
        <v>58</v>
      </c>
      <c r="H40" s="41" t="s">
        <v>58</v>
      </c>
      <c r="I40" s="41" t="s">
        <v>58</v>
      </c>
      <c r="J40" s="46">
        <f t="shared" si="0"/>
        <v>0.29591980624463549</v>
      </c>
      <c r="K40" s="46">
        <f t="shared" si="1"/>
        <v>11.850717315134483</v>
      </c>
      <c r="L40" s="29"/>
    </row>
    <row r="41" spans="2:12" ht="13.5" customHeight="1" outlineLevel="1" x14ac:dyDescent="0.2">
      <c r="B41" s="96" t="s">
        <v>90</v>
      </c>
      <c r="C41" s="22">
        <f>912943391.56</f>
        <v>912943391.55999994</v>
      </c>
      <c r="D41" s="22">
        <f>87223938.8</f>
        <v>87223938.799999997</v>
      </c>
      <c r="E41" s="24" t="s">
        <v>58</v>
      </c>
      <c r="F41" s="24" t="s">
        <v>58</v>
      </c>
      <c r="G41" s="24" t="s">
        <v>58</v>
      </c>
      <c r="H41" s="24" t="s">
        <v>58</v>
      </c>
      <c r="I41" s="24" t="s">
        <v>58</v>
      </c>
      <c r="J41" s="35">
        <f t="shared" si="0"/>
        <v>0.200848186462253</v>
      </c>
      <c r="K41" s="35">
        <f t="shared" si="1"/>
        <v>9.5541453726890264</v>
      </c>
      <c r="L41" s="29"/>
    </row>
    <row r="42" spans="2:12" ht="13.5" customHeight="1" outlineLevel="1" x14ac:dyDescent="0.2">
      <c r="B42" s="94" t="s">
        <v>91</v>
      </c>
      <c r="C42" s="41">
        <f>7109771096.23</f>
        <v>7109771096.2299995</v>
      </c>
      <c r="D42" s="41">
        <f>1053018239.81</f>
        <v>1053018239.8099999</v>
      </c>
      <c r="E42" s="41" t="s">
        <v>58</v>
      </c>
      <c r="F42" s="41" t="s">
        <v>58</v>
      </c>
      <c r="G42" s="41" t="s">
        <v>58</v>
      </c>
      <c r="H42" s="41" t="s">
        <v>58</v>
      </c>
      <c r="I42" s="41" t="s">
        <v>58</v>
      </c>
      <c r="J42" s="55">
        <f t="shared" si="0"/>
        <v>2.4247563993006964</v>
      </c>
      <c r="K42" s="55">
        <f t="shared" si="1"/>
        <v>14.810859949743945</v>
      </c>
      <c r="L42" s="29"/>
    </row>
    <row r="43" spans="2:12" ht="13.5" customHeight="1" outlineLevel="1" x14ac:dyDescent="0.2">
      <c r="B43" s="96" t="s">
        <v>92</v>
      </c>
      <c r="C43" s="22">
        <f>5914604784.16</f>
        <v>5914604784.1599998</v>
      </c>
      <c r="D43" s="22">
        <f>699272582.48</f>
        <v>699272582.48000002</v>
      </c>
      <c r="E43" s="24" t="s">
        <v>58</v>
      </c>
      <c r="F43" s="24" t="s">
        <v>58</v>
      </c>
      <c r="G43" s="24" t="s">
        <v>58</v>
      </c>
      <c r="H43" s="24" t="s">
        <v>58</v>
      </c>
      <c r="I43" s="24" t="s">
        <v>58</v>
      </c>
      <c r="J43" s="35">
        <f t="shared" si="0"/>
        <v>1.6101959160079138</v>
      </c>
      <c r="K43" s="35">
        <f t="shared" si="1"/>
        <v>11.822811633208923</v>
      </c>
      <c r="L43" s="29"/>
    </row>
    <row r="44" spans="2:12" s="5" customFormat="1" ht="25.5" customHeight="1" x14ac:dyDescent="0.2">
      <c r="B44" s="85" t="s">
        <v>61</v>
      </c>
      <c r="C44" s="25">
        <f>C45+C46+C47+C48+C49</f>
        <v>33298724213.599998</v>
      </c>
      <c r="D44" s="25">
        <f>D45+D46+D47+D48+D49</f>
        <v>11560651674</v>
      </c>
      <c r="E44" s="23" t="s">
        <v>58</v>
      </c>
      <c r="F44" s="23" t="s">
        <v>58</v>
      </c>
      <c r="G44" s="23" t="s">
        <v>58</v>
      </c>
      <c r="H44" s="23" t="s">
        <v>58</v>
      </c>
      <c r="I44" s="23" t="s">
        <v>58</v>
      </c>
      <c r="J44" s="34">
        <f t="shared" si="0"/>
        <v>26.620397507716184</v>
      </c>
      <c r="K44" s="34">
        <f t="shared" si="1"/>
        <v>34.718001806442636</v>
      </c>
      <c r="L44" s="30"/>
    </row>
    <row r="45" spans="2:12" ht="13.5" customHeight="1" outlineLevel="1" x14ac:dyDescent="0.2">
      <c r="B45" s="32" t="s">
        <v>48</v>
      </c>
      <c r="C45" s="22">
        <f>9277883580</f>
        <v>9277883580</v>
      </c>
      <c r="D45" s="22">
        <f>2321108388</f>
        <v>2321108388</v>
      </c>
      <c r="E45" s="24" t="s">
        <v>58</v>
      </c>
      <c r="F45" s="24" t="s">
        <v>58</v>
      </c>
      <c r="G45" s="24" t="s">
        <v>58</v>
      </c>
      <c r="H45" s="24" t="s">
        <v>58</v>
      </c>
      <c r="I45" s="24" t="s">
        <v>58</v>
      </c>
      <c r="J45" s="35">
        <f t="shared" si="0"/>
        <v>5.3447530199372677</v>
      </c>
      <c r="K45" s="35">
        <f t="shared" si="1"/>
        <v>25.01764942387863</v>
      </c>
      <c r="L45" s="29"/>
    </row>
    <row r="46" spans="2:12" ht="13.5" customHeight="1" outlineLevel="1" x14ac:dyDescent="0.2">
      <c r="B46" s="54" t="s">
        <v>47</v>
      </c>
      <c r="C46" s="24">
        <f>23660960017.6</f>
        <v>23660960017.599998</v>
      </c>
      <c r="D46" s="24">
        <f>9151537870</f>
        <v>9151537870</v>
      </c>
      <c r="E46" s="24" t="s">
        <v>58</v>
      </c>
      <c r="F46" s="24" t="s">
        <v>58</v>
      </c>
      <c r="G46" s="24" t="s">
        <v>58</v>
      </c>
      <c r="H46" s="24" t="s">
        <v>58</v>
      </c>
      <c r="I46" s="24" t="s">
        <v>58</v>
      </c>
      <c r="J46" s="35">
        <f t="shared" si="0"/>
        <v>21.072996815068496</v>
      </c>
      <c r="K46" s="35">
        <f t="shared" si="1"/>
        <v>38.67779609615463</v>
      </c>
      <c r="L46" s="29"/>
    </row>
    <row r="47" spans="2:12" ht="13.5" customHeight="1" outlineLevel="1" x14ac:dyDescent="0.2">
      <c r="B47" s="54" t="s">
        <v>46</v>
      </c>
      <c r="C47" s="24">
        <f>20449</f>
        <v>20449</v>
      </c>
      <c r="D47" s="24">
        <f>0</f>
        <v>0</v>
      </c>
      <c r="E47" s="24" t="s">
        <v>58</v>
      </c>
      <c r="F47" s="24" t="s">
        <v>58</v>
      </c>
      <c r="G47" s="24" t="s">
        <v>58</v>
      </c>
      <c r="H47" s="24" t="s">
        <v>58</v>
      </c>
      <c r="I47" s="24" t="s">
        <v>58</v>
      </c>
      <c r="J47" s="35">
        <f t="shared" si="0"/>
        <v>0</v>
      </c>
      <c r="K47" s="35">
        <f t="shared" si="1"/>
        <v>0</v>
      </c>
      <c r="L47" s="29"/>
    </row>
    <row r="48" spans="2:12" ht="13.5" customHeight="1" outlineLevel="1" x14ac:dyDescent="0.2">
      <c r="B48" s="54" t="s">
        <v>45</v>
      </c>
      <c r="C48" s="24">
        <f>340509372</f>
        <v>340509372</v>
      </c>
      <c r="D48" s="24">
        <f>85236303</f>
        <v>85236303</v>
      </c>
      <c r="E48" s="24" t="s">
        <v>58</v>
      </c>
      <c r="F48" s="24" t="s">
        <v>58</v>
      </c>
      <c r="G48" s="24" t="s">
        <v>58</v>
      </c>
      <c r="H48" s="24" t="s">
        <v>58</v>
      </c>
      <c r="I48" s="24" t="s">
        <v>58</v>
      </c>
      <c r="J48" s="35">
        <f t="shared" si="0"/>
        <v>0.19627131168143364</v>
      </c>
      <c r="K48" s="35">
        <f t="shared" si="1"/>
        <v>25.031999119248912</v>
      </c>
      <c r="L48" s="29"/>
    </row>
    <row r="49" spans="1:26" s="5" customFormat="1" ht="13.5" customHeight="1" outlineLevel="1" x14ac:dyDescent="0.2">
      <c r="B49" s="54" t="s">
        <v>43</v>
      </c>
      <c r="C49" s="24">
        <f>19350795</f>
        <v>19350795</v>
      </c>
      <c r="D49" s="24">
        <f>2769113</f>
        <v>2769113</v>
      </c>
      <c r="E49" s="24" t="s">
        <v>58</v>
      </c>
      <c r="F49" s="24" t="s">
        <v>58</v>
      </c>
      <c r="G49" s="24" t="s">
        <v>58</v>
      </c>
      <c r="H49" s="24" t="s">
        <v>58</v>
      </c>
      <c r="I49" s="24" t="s">
        <v>58</v>
      </c>
      <c r="J49" s="35">
        <f t="shared" si="0"/>
        <v>6.3763610289867892E-3</v>
      </c>
      <c r="K49" s="35">
        <f t="shared" si="1"/>
        <v>14.310073565452996</v>
      </c>
      <c r="L49" s="30"/>
    </row>
    <row r="50" spans="1:26" s="5" customFormat="1" x14ac:dyDescent="0.2">
      <c r="A50" s="2"/>
      <c r="B50" s="20"/>
      <c r="C50" s="7"/>
      <c r="D50" s="8"/>
      <c r="E50" s="16"/>
      <c r="F50" s="16"/>
      <c r="G50" s="16"/>
      <c r="H50" s="16"/>
      <c r="I50" s="16"/>
      <c r="J50" s="9"/>
      <c r="K50" s="9"/>
      <c r="L50" s="3"/>
    </row>
    <row r="51" spans="1:26" s="5" customFormat="1" ht="13.5" customHeight="1" x14ac:dyDescent="0.2">
      <c r="A51" s="2"/>
      <c r="B51" s="84" t="s">
        <v>5</v>
      </c>
      <c r="C51" s="41">
        <f t="shared" ref="C51:I51" si="4">+C6</f>
        <v>145267840106.51001</v>
      </c>
      <c r="D51" s="41">
        <f t="shared" si="4"/>
        <v>43427795060.720001</v>
      </c>
      <c r="E51" s="41">
        <f t="shared" si="4"/>
        <v>839382644.73000002</v>
      </c>
      <c r="F51" s="41">
        <f t="shared" si="4"/>
        <v>229918446.63</v>
      </c>
      <c r="G51" s="41">
        <f t="shared" si="4"/>
        <v>24915358.41</v>
      </c>
      <c r="H51" s="41">
        <f t="shared" si="4"/>
        <v>57581718.539999999</v>
      </c>
      <c r="I51" s="41">
        <f t="shared" si="4"/>
        <v>2560526.5499999998</v>
      </c>
      <c r="J51" s="56">
        <f t="shared" si="0"/>
        <v>100</v>
      </c>
      <c r="K51" s="78">
        <f>IF(C51=0,"",100*D51/C51)</f>
        <v>29.894982281610886</v>
      </c>
      <c r="L51" s="80"/>
    </row>
    <row r="52" spans="1:26" s="5" customFormat="1" ht="13.5" customHeight="1" x14ac:dyDescent="0.2">
      <c r="A52" s="2"/>
      <c r="B52" s="86" t="s">
        <v>71</v>
      </c>
      <c r="C52" s="24">
        <f>22618631567.16</f>
        <v>22618631567.16</v>
      </c>
      <c r="D52" s="24">
        <f>2408054849.24</f>
        <v>2408054849.2399998</v>
      </c>
      <c r="E52" s="24">
        <f>0</f>
        <v>0</v>
      </c>
      <c r="F52" s="24">
        <f>0</f>
        <v>0</v>
      </c>
      <c r="G52" s="24">
        <f>0</f>
        <v>0</v>
      </c>
      <c r="H52" s="24">
        <f>122480.7</f>
        <v>122480.7</v>
      </c>
      <c r="I52" s="24">
        <f>4840.65</f>
        <v>4840.6499999999996</v>
      </c>
      <c r="J52" s="38">
        <f t="shared" si="0"/>
        <v>5.5449622663851539</v>
      </c>
      <c r="K52" s="79">
        <f>IF(C52=0,"",100*D52/C52)</f>
        <v>10.646333055516301</v>
      </c>
      <c r="L52" s="80"/>
    </row>
    <row r="53" spans="1:26" s="5" customFormat="1" ht="13.5" customHeight="1" x14ac:dyDescent="0.2">
      <c r="A53" s="2"/>
      <c r="B53" s="86" t="s">
        <v>72</v>
      </c>
      <c r="C53" s="24">
        <f>C51-C52</f>
        <v>122649208539.35001</v>
      </c>
      <c r="D53" s="24">
        <f t="shared" ref="D53:I53" si="5">D51-D52</f>
        <v>41019740211.480003</v>
      </c>
      <c r="E53" s="24">
        <f t="shared" si="5"/>
        <v>839382644.73000002</v>
      </c>
      <c r="F53" s="24">
        <f t="shared" si="5"/>
        <v>229918446.63</v>
      </c>
      <c r="G53" s="24">
        <f t="shared" si="5"/>
        <v>24915358.41</v>
      </c>
      <c r="H53" s="24">
        <f t="shared" si="5"/>
        <v>57459237.839999996</v>
      </c>
      <c r="I53" s="24">
        <f t="shared" si="5"/>
        <v>2555685.9</v>
      </c>
      <c r="J53" s="38">
        <f t="shared" si="0"/>
        <v>94.455037733614859</v>
      </c>
      <c r="K53" s="79">
        <f>IF(C53=0,"",100*D53/C53)</f>
        <v>33.444765522738358</v>
      </c>
      <c r="L53" s="80"/>
    </row>
    <row r="54" spans="1:26" ht="15" x14ac:dyDescent="0.2">
      <c r="B54" s="92" t="str">
        <f>CONCATENATE("Informacja z wykonania budżetów gmin za ",$D$111," ",$C$112," rok")</f>
        <v>Informacja z wykonania budżetów gmin za I Kwartał 2022 rok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</row>
    <row r="55" spans="1:26" s="5" customFormat="1" ht="7.5" customHeight="1" x14ac:dyDescent="0.2">
      <c r="B55" s="6"/>
      <c r="C55" s="7"/>
      <c r="D55" s="8"/>
      <c r="E55" s="8"/>
      <c r="F55" s="4"/>
      <c r="G55" s="4"/>
      <c r="H55" s="4"/>
      <c r="I55" s="4"/>
      <c r="J55" s="4"/>
      <c r="K55" s="9"/>
      <c r="L55" s="9"/>
      <c r="M55" s="3"/>
    </row>
    <row r="56" spans="1:26" ht="29.25" customHeight="1" x14ac:dyDescent="0.2">
      <c r="B56" s="105" t="s">
        <v>0</v>
      </c>
      <c r="C56" s="115" t="s">
        <v>54</v>
      </c>
      <c r="D56" s="115" t="s">
        <v>56</v>
      </c>
      <c r="E56" s="115" t="s">
        <v>55</v>
      </c>
      <c r="F56" s="115" t="s">
        <v>12</v>
      </c>
      <c r="G56" s="115"/>
      <c r="H56" s="115"/>
      <c r="I56" s="107" t="s">
        <v>83</v>
      </c>
      <c r="J56" s="115" t="s">
        <v>2</v>
      </c>
      <c r="K56" s="104" t="s">
        <v>18</v>
      </c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8" customHeight="1" x14ac:dyDescent="0.2">
      <c r="B57" s="105"/>
      <c r="C57" s="115"/>
      <c r="D57" s="115"/>
      <c r="E57" s="111"/>
      <c r="F57" s="112" t="s">
        <v>57</v>
      </c>
      <c r="G57" s="110" t="s">
        <v>34</v>
      </c>
      <c r="H57" s="111"/>
      <c r="I57" s="108"/>
      <c r="J57" s="115"/>
      <c r="K57" s="104"/>
      <c r="L57" s="11"/>
      <c r="M57" s="12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57.75" customHeight="1" x14ac:dyDescent="0.2">
      <c r="B58" s="105"/>
      <c r="C58" s="115"/>
      <c r="D58" s="115"/>
      <c r="E58" s="111"/>
      <c r="F58" s="111"/>
      <c r="G58" s="18" t="s">
        <v>52</v>
      </c>
      <c r="H58" s="18" t="s">
        <v>53</v>
      </c>
      <c r="I58" s="109"/>
      <c r="J58" s="115"/>
      <c r="K58" s="104"/>
      <c r="L58" s="11"/>
      <c r="M58" s="10"/>
      <c r="N58" s="21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3.5" customHeight="1" x14ac:dyDescent="0.2">
      <c r="B59" s="105"/>
      <c r="C59" s="116" t="s">
        <v>76</v>
      </c>
      <c r="D59" s="117"/>
      <c r="E59" s="117"/>
      <c r="F59" s="117"/>
      <c r="G59" s="117"/>
      <c r="H59" s="117"/>
      <c r="I59" s="118"/>
      <c r="J59" s="106" t="s">
        <v>4</v>
      </c>
      <c r="K59" s="106"/>
      <c r="N59" s="21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1.25" customHeight="1" x14ac:dyDescent="0.2">
      <c r="B60" s="17">
        <v>1</v>
      </c>
      <c r="C60" s="19">
        <v>2</v>
      </c>
      <c r="D60" s="19">
        <v>3</v>
      </c>
      <c r="E60" s="19">
        <v>4</v>
      </c>
      <c r="F60" s="17">
        <v>5</v>
      </c>
      <c r="G60" s="17">
        <v>6</v>
      </c>
      <c r="H60" s="19">
        <v>7</v>
      </c>
      <c r="I60" s="19">
        <v>8</v>
      </c>
      <c r="J60" s="17">
        <v>9</v>
      </c>
      <c r="K60" s="19">
        <v>10</v>
      </c>
      <c r="M60" s="10"/>
      <c r="N60" s="21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5.5" customHeight="1" x14ac:dyDescent="0.2">
      <c r="B61" s="84" t="s">
        <v>62</v>
      </c>
      <c r="C61" s="57">
        <f>167021749922.89</f>
        <v>167021749922.89001</v>
      </c>
      <c r="D61" s="68">
        <f>36426618535.58</f>
        <v>36426618535.580002</v>
      </c>
      <c r="E61" s="68">
        <f>94640546924.38</f>
        <v>94640546924.380005</v>
      </c>
      <c r="F61" s="57">
        <f>3068155719.76</f>
        <v>3068155719.7600002</v>
      </c>
      <c r="G61" s="57">
        <f>2666364.38</f>
        <v>2666364.38</v>
      </c>
      <c r="H61" s="57">
        <f>2066080.26</f>
        <v>2066080.26</v>
      </c>
      <c r="I61" s="69">
        <f>0</f>
        <v>0</v>
      </c>
      <c r="J61" s="52">
        <f>IF($D$61=0,"",100*$D61/$D$61)</f>
        <v>100</v>
      </c>
      <c r="K61" s="52">
        <f>IF(C61=0,"",100*D61/C61)</f>
        <v>21.809505978950231</v>
      </c>
      <c r="N61" s="77"/>
    </row>
    <row r="62" spans="1:26" ht="13.5" customHeight="1" x14ac:dyDescent="0.2">
      <c r="B62" s="85" t="s">
        <v>14</v>
      </c>
      <c r="C62" s="26">
        <f>44686313632.0801</f>
        <v>44686313632.080101</v>
      </c>
      <c r="D62" s="26">
        <f>2334271053.6</f>
        <v>2334271053.5999999</v>
      </c>
      <c r="E62" s="26">
        <f>13197751311.21</f>
        <v>13197751311.209999</v>
      </c>
      <c r="F62" s="26">
        <f>609834941.65</f>
        <v>609834941.64999998</v>
      </c>
      <c r="G62" s="26">
        <f>618271.07</f>
        <v>618271.06999999995</v>
      </c>
      <c r="H62" s="26">
        <f>7747.72</f>
        <v>7747.72</v>
      </c>
      <c r="I62" s="70">
        <f>0</f>
        <v>0</v>
      </c>
      <c r="J62" s="52">
        <f t="shared" ref="J62:J70" si="6">IF($D$61=0,"",100*$D62/$D$61)</f>
        <v>6.4081464254497886</v>
      </c>
      <c r="K62" s="52">
        <f t="shared" ref="K62:K70" si="7">IF(C62=0,"",100*D62/C62)</f>
        <v>5.2236822952525612</v>
      </c>
      <c r="N62" s="61"/>
    </row>
    <row r="63" spans="1:26" ht="13.5" customHeight="1" outlineLevel="1" x14ac:dyDescent="0.2">
      <c r="B63" s="32" t="s">
        <v>13</v>
      </c>
      <c r="C63" s="22">
        <f>43636163948.7401</f>
        <v>43636163948.740097</v>
      </c>
      <c r="D63" s="22">
        <f>2118713187.17</f>
        <v>2118713187.1700001</v>
      </c>
      <c r="E63" s="22">
        <f>12888228536.27</f>
        <v>12888228536.27</v>
      </c>
      <c r="F63" s="22">
        <f>565715041.65</f>
        <v>565715041.64999998</v>
      </c>
      <c r="G63" s="22">
        <f>618271.07</f>
        <v>618271.06999999995</v>
      </c>
      <c r="H63" s="22">
        <f>7747.72</f>
        <v>7747.72</v>
      </c>
      <c r="I63" s="66">
        <f>0</f>
        <v>0</v>
      </c>
      <c r="J63" s="52">
        <f t="shared" si="6"/>
        <v>5.8163872254585733</v>
      </c>
      <c r="K63" s="52">
        <f t="shared" si="7"/>
        <v>4.8554066064534833</v>
      </c>
      <c r="N63" s="76"/>
    </row>
    <row r="64" spans="1:26" ht="27" customHeight="1" x14ac:dyDescent="0.2">
      <c r="B64" s="85" t="s">
        <v>63</v>
      </c>
      <c r="C64" s="26">
        <f t="shared" ref="C64:I64" si="8">C61-C62</f>
        <v>122335436290.80991</v>
      </c>
      <c r="D64" s="26">
        <f>D61-D62</f>
        <v>34092347481.980003</v>
      </c>
      <c r="E64" s="26">
        <f>E61-E62</f>
        <v>81442795613.170013</v>
      </c>
      <c r="F64" s="26">
        <f t="shared" si="8"/>
        <v>2458320778.1100001</v>
      </c>
      <c r="G64" s="26">
        <f t="shared" si="8"/>
        <v>2048093.31</v>
      </c>
      <c r="H64" s="26">
        <f t="shared" si="8"/>
        <v>2058332.54</v>
      </c>
      <c r="I64" s="70">
        <f t="shared" si="8"/>
        <v>0</v>
      </c>
      <c r="J64" s="52">
        <f t="shared" si="6"/>
        <v>93.591853574550214</v>
      </c>
      <c r="K64" s="52">
        <f t="shared" si="7"/>
        <v>27.867924875779508</v>
      </c>
      <c r="N64" s="61"/>
    </row>
    <row r="65" spans="2:14" ht="22.5" outlineLevel="1" x14ac:dyDescent="0.2">
      <c r="B65" s="32" t="s">
        <v>100</v>
      </c>
      <c r="C65" s="22">
        <f>51331426812.9499</f>
        <v>51331426812.949898</v>
      </c>
      <c r="D65" s="22">
        <f>13939384542.42</f>
        <v>13939384542.42</v>
      </c>
      <c r="E65" s="22">
        <f>41741718116.06</f>
        <v>41741718116.059998</v>
      </c>
      <c r="F65" s="22">
        <f>1110345503.95</f>
        <v>1110345503.95</v>
      </c>
      <c r="G65" s="22">
        <f>1560842.74</f>
        <v>1560842.74</v>
      </c>
      <c r="H65" s="22">
        <f>111253.14</f>
        <v>111253.14</v>
      </c>
      <c r="I65" s="66">
        <f>0</f>
        <v>0</v>
      </c>
      <c r="J65" s="52">
        <f t="shared" si="6"/>
        <v>38.267028625796243</v>
      </c>
      <c r="K65" s="52">
        <f t="shared" si="7"/>
        <v>27.155653773690489</v>
      </c>
      <c r="N65" s="76"/>
    </row>
    <row r="66" spans="2:14" ht="13.5" customHeight="1" outlineLevel="1" x14ac:dyDescent="0.2">
      <c r="B66" s="54" t="s">
        <v>51</v>
      </c>
      <c r="C66" s="59">
        <f>10055073080.73</f>
        <v>10055073080.73</v>
      </c>
      <c r="D66" s="59">
        <f>2705107213.67</f>
        <v>2705107213.6700001</v>
      </c>
      <c r="E66" s="59">
        <f>5515541246.55</f>
        <v>5515541246.5500002</v>
      </c>
      <c r="F66" s="59">
        <f>59121638.88</f>
        <v>59121638.880000003</v>
      </c>
      <c r="G66" s="59">
        <f>0</f>
        <v>0</v>
      </c>
      <c r="H66" s="59">
        <f>75000</f>
        <v>75000</v>
      </c>
      <c r="I66" s="71">
        <f>0</f>
        <v>0</v>
      </c>
      <c r="J66" s="52">
        <f t="shared" si="6"/>
        <v>7.4261826170545149</v>
      </c>
      <c r="K66" s="52">
        <f t="shared" si="7"/>
        <v>26.902909525880929</v>
      </c>
      <c r="N66" s="75"/>
    </row>
    <row r="67" spans="2:14" ht="13.5" customHeight="1" outlineLevel="1" x14ac:dyDescent="0.2">
      <c r="B67" s="54" t="s">
        <v>50</v>
      </c>
      <c r="C67" s="24">
        <f>969890231.48</f>
        <v>969890231.48000002</v>
      </c>
      <c r="D67" s="24">
        <f>159444173.92</f>
        <v>159444173.91999999</v>
      </c>
      <c r="E67" s="24">
        <f>324467795.31</f>
        <v>324467795.31</v>
      </c>
      <c r="F67" s="24">
        <f>34635492.59</f>
        <v>34635492.590000004</v>
      </c>
      <c r="G67" s="24">
        <f>0</f>
        <v>0</v>
      </c>
      <c r="H67" s="24">
        <f>270.97</f>
        <v>270.97000000000003</v>
      </c>
      <c r="I67" s="72">
        <f>0</f>
        <v>0</v>
      </c>
      <c r="J67" s="52">
        <f t="shared" si="6"/>
        <v>0.43771335449174775</v>
      </c>
      <c r="K67" s="52">
        <f t="shared" si="7"/>
        <v>16.439404042321037</v>
      </c>
      <c r="N67" s="76"/>
    </row>
    <row r="68" spans="2:14" ht="24" customHeight="1" outlineLevel="1" x14ac:dyDescent="0.2">
      <c r="B68" s="54" t="s">
        <v>69</v>
      </c>
      <c r="C68" s="59">
        <f>138916463.55</f>
        <v>138916463.55000001</v>
      </c>
      <c r="D68" s="59">
        <f>651935.2</f>
        <v>651935.19999999995</v>
      </c>
      <c r="E68" s="59">
        <f>11091455.94</f>
        <v>11091455.939999999</v>
      </c>
      <c r="F68" s="59">
        <f>0</f>
        <v>0</v>
      </c>
      <c r="G68" s="59">
        <f>0</f>
        <v>0</v>
      </c>
      <c r="H68" s="59">
        <f>0</f>
        <v>0</v>
      </c>
      <c r="I68" s="71">
        <f>0</f>
        <v>0</v>
      </c>
      <c r="J68" s="52">
        <f t="shared" si="6"/>
        <v>1.7897219841122964E-3</v>
      </c>
      <c r="K68" s="52">
        <f t="shared" si="7"/>
        <v>0.46930017028928311</v>
      </c>
      <c r="N68" s="75"/>
    </row>
    <row r="69" spans="2:14" ht="13.5" customHeight="1" outlineLevel="1" x14ac:dyDescent="0.2">
      <c r="B69" s="54" t="s">
        <v>70</v>
      </c>
      <c r="C69" s="59">
        <f>25270147037.91</f>
        <v>25270147037.91</v>
      </c>
      <c r="D69" s="59">
        <f>10668988514.53</f>
        <v>10668988514.530001</v>
      </c>
      <c r="E69" s="59">
        <f>17967717288.32</f>
        <v>17967717288.32</v>
      </c>
      <c r="F69" s="59">
        <f>326377871.12</f>
        <v>326377871.12</v>
      </c>
      <c r="G69" s="59">
        <f>3135.41</f>
        <v>3135.41</v>
      </c>
      <c r="H69" s="59">
        <f>30540.19</f>
        <v>30540.19</v>
      </c>
      <c r="I69" s="73">
        <f>0</f>
        <v>0</v>
      </c>
      <c r="J69" s="52">
        <f t="shared" si="6"/>
        <v>29.288989600033773</v>
      </c>
      <c r="K69" s="52">
        <f t="shared" si="7"/>
        <v>42.219732629669707</v>
      </c>
      <c r="N69" s="75"/>
    </row>
    <row r="70" spans="2:14" ht="13.5" customHeight="1" outlineLevel="1" x14ac:dyDescent="0.2">
      <c r="B70" s="54" t="s">
        <v>49</v>
      </c>
      <c r="C70" s="24">
        <f t="shared" ref="C70:I70" si="9">C64-C65-C66-C67-C68-C69</f>
        <v>34569982664.190018</v>
      </c>
      <c r="D70" s="24">
        <f>D64-D65-D66-D67-D68-D69</f>
        <v>6618771102.2400074</v>
      </c>
      <c r="E70" s="24">
        <f>E64-E65-E66-E67-E68-E69</f>
        <v>15882259710.990017</v>
      </c>
      <c r="F70" s="24">
        <f t="shared" si="9"/>
        <v>927840271.57000005</v>
      </c>
      <c r="G70" s="24">
        <f t="shared" si="9"/>
        <v>484115.16000000009</v>
      </c>
      <c r="H70" s="24">
        <f t="shared" si="9"/>
        <v>1841268.2400000002</v>
      </c>
      <c r="I70" s="71">
        <f t="shared" si="9"/>
        <v>0</v>
      </c>
      <c r="J70" s="52">
        <f t="shared" si="6"/>
        <v>18.170149655189839</v>
      </c>
      <c r="K70" s="52">
        <f t="shared" si="7"/>
        <v>19.146006425673416</v>
      </c>
      <c r="N70" s="76"/>
    </row>
    <row r="71" spans="2:14" ht="18" customHeight="1" x14ac:dyDescent="0.2">
      <c r="B71" s="84" t="s">
        <v>15</v>
      </c>
      <c r="C71" s="26">
        <f>C6-C61</f>
        <v>-21753909816.380005</v>
      </c>
      <c r="D71" s="26">
        <f>D6-D61</f>
        <v>7001176525.1399994</v>
      </c>
      <c r="E71" s="81"/>
      <c r="F71" s="61"/>
      <c r="G71" s="61"/>
      <c r="H71" s="61"/>
      <c r="I71" s="82"/>
      <c r="J71" s="28"/>
      <c r="K71" s="28"/>
      <c r="L71" s="13"/>
      <c r="N71" s="61"/>
    </row>
    <row r="72" spans="2:14" ht="38.25" x14ac:dyDescent="0.2">
      <c r="B72" s="87" t="s">
        <v>105</v>
      </c>
      <c r="C72" s="26">
        <f>+C53-C64</f>
        <v>313772248.5401001</v>
      </c>
      <c r="D72" s="26">
        <f>+D53-D64</f>
        <v>6927392729.5</v>
      </c>
      <c r="E72" s="81"/>
      <c r="F72" s="61"/>
      <c r="G72" s="61"/>
      <c r="H72" s="61"/>
      <c r="I72" s="61"/>
      <c r="J72" s="28"/>
      <c r="K72" s="28"/>
      <c r="L72" s="13"/>
      <c r="N72" s="61"/>
    </row>
    <row r="73" spans="2:14" ht="13.5" thickBot="1" x14ac:dyDescent="0.25">
      <c r="B73" s="60"/>
      <c r="C73" s="61"/>
      <c r="D73" s="61"/>
      <c r="E73" s="61"/>
      <c r="F73" s="61"/>
      <c r="G73" s="61"/>
      <c r="H73" s="61"/>
      <c r="I73" s="61"/>
      <c r="J73" s="61"/>
      <c r="K73" s="28"/>
      <c r="L73" s="28"/>
      <c r="M73" s="13"/>
    </row>
    <row r="74" spans="2:14" ht="14.25" customHeight="1" x14ac:dyDescent="0.2">
      <c r="B74" s="88" t="s">
        <v>73</v>
      </c>
      <c r="C74" s="61"/>
      <c r="D74" s="61"/>
      <c r="E74" s="61"/>
      <c r="F74" s="61"/>
      <c r="G74" s="61"/>
      <c r="H74" s="61"/>
      <c r="I74" s="61"/>
      <c r="J74" s="61"/>
      <c r="K74" s="28"/>
      <c r="L74" s="28"/>
      <c r="M74" s="13"/>
    </row>
    <row r="75" spans="2:14" ht="27" customHeight="1" x14ac:dyDescent="0.2">
      <c r="B75" s="84" t="s">
        <v>107</v>
      </c>
      <c r="C75" s="41">
        <f>11178412424.79</f>
        <v>11178412424.790001</v>
      </c>
      <c r="D75" s="41">
        <f>957056027.2</f>
        <v>957056027.20000005</v>
      </c>
      <c r="E75" s="41">
        <f>4263616844.19</f>
        <v>4263616844.1900001</v>
      </c>
      <c r="F75" s="41">
        <f>160725125.42</f>
        <v>160725125.41999999</v>
      </c>
      <c r="G75" s="41">
        <f>0</f>
        <v>0</v>
      </c>
      <c r="H75" s="41">
        <f>16142.27</f>
        <v>16142.27</v>
      </c>
      <c r="I75" s="41">
        <f>0</f>
        <v>0</v>
      </c>
      <c r="J75" s="62">
        <f>IF($D$75=0,"",100*$D75/$D$75)</f>
        <v>100</v>
      </c>
      <c r="K75" s="62">
        <f>IF(C75=0,"",100*D75/C75)</f>
        <v>8.561645346682397</v>
      </c>
      <c r="L75" s="13"/>
    </row>
    <row r="76" spans="2:14" ht="15" customHeight="1" x14ac:dyDescent="0.2">
      <c r="B76" s="89" t="s">
        <v>74</v>
      </c>
      <c r="C76" s="22">
        <f>9487729810.99</f>
        <v>9487729810.9899998</v>
      </c>
      <c r="D76" s="22">
        <f>772753445.41</f>
        <v>772753445.40999997</v>
      </c>
      <c r="E76" s="22">
        <f>3824365957.19</f>
        <v>3824365957.1900001</v>
      </c>
      <c r="F76" s="22">
        <f>153380303.03</f>
        <v>153380303.03</v>
      </c>
      <c r="G76" s="22">
        <f>0</f>
        <v>0</v>
      </c>
      <c r="H76" s="22">
        <f>233.31</f>
        <v>233.31</v>
      </c>
      <c r="I76" s="22">
        <f>0</f>
        <v>0</v>
      </c>
      <c r="J76" s="62">
        <f>IF($D$75=0,"",100*$D76/$D$75)</f>
        <v>80.742759404671133</v>
      </c>
      <c r="K76" s="62">
        <f>IF(C76=0,"",100*D76/C76)</f>
        <v>8.1447665648624419</v>
      </c>
      <c r="L76" s="13"/>
    </row>
    <row r="77" spans="2:14" ht="14.25" customHeight="1" x14ac:dyDescent="0.2">
      <c r="B77" s="90" t="s">
        <v>75</v>
      </c>
      <c r="C77" s="22">
        <f>+C75-C76</f>
        <v>1690682613.8000011</v>
      </c>
      <c r="D77" s="22">
        <f t="shared" ref="D77:I77" si="10">+D75-D76</f>
        <v>184302581.79000008</v>
      </c>
      <c r="E77" s="22">
        <f t="shared" si="10"/>
        <v>439250887</v>
      </c>
      <c r="F77" s="22">
        <f t="shared" si="10"/>
        <v>7344822.3899999857</v>
      </c>
      <c r="G77" s="22">
        <f t="shared" si="10"/>
        <v>0</v>
      </c>
      <c r="H77" s="22">
        <f t="shared" si="10"/>
        <v>15908.960000000001</v>
      </c>
      <c r="I77" s="22">
        <f t="shared" si="10"/>
        <v>0</v>
      </c>
      <c r="J77" s="62">
        <f>IF($D$75=0,"",100*$D77/$D$75)</f>
        <v>19.257240595328867</v>
      </c>
      <c r="K77" s="62">
        <f>IF(C77=0,"",100*D77/C77)</f>
        <v>10.901075121116854</v>
      </c>
      <c r="L77" s="10"/>
    </row>
    <row r="78" spans="2:14" ht="15" x14ac:dyDescent="0.2">
      <c r="B78" s="92" t="str">
        <f>CONCATENATE("Informacja z wykonania budżetów gmin za ",$D$111," ",$C$112," rok")</f>
        <v>Informacja z wykonania budżetów gmin za I Kwartał 2022 rok</v>
      </c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</row>
    <row r="80" spans="2:14" ht="18" customHeight="1" x14ac:dyDescent="0.2">
      <c r="B80" s="40" t="s">
        <v>16</v>
      </c>
      <c r="C80" s="67" t="s">
        <v>17</v>
      </c>
      <c r="D80" s="67" t="s">
        <v>1</v>
      </c>
      <c r="E80" s="119" t="s">
        <v>58</v>
      </c>
      <c r="F80" s="120"/>
      <c r="G80" s="120"/>
      <c r="H80" s="120"/>
      <c r="I80" s="121"/>
      <c r="J80" s="19" t="s">
        <v>26</v>
      </c>
      <c r="K80" s="19" t="s">
        <v>27</v>
      </c>
    </row>
    <row r="81" spans="2:13" ht="13.5" customHeight="1" x14ac:dyDescent="0.2">
      <c r="B81" s="40"/>
      <c r="C81" s="112" t="s">
        <v>76</v>
      </c>
      <c r="D81" s="113"/>
      <c r="E81" s="122"/>
      <c r="F81" s="123"/>
      <c r="G81" s="123"/>
      <c r="H81" s="123"/>
      <c r="I81" s="124"/>
      <c r="J81" s="112" t="s">
        <v>4</v>
      </c>
      <c r="K81" s="114"/>
      <c r="M81" s="14"/>
    </row>
    <row r="82" spans="2:13" ht="11.25" customHeight="1" x14ac:dyDescent="0.2">
      <c r="B82" s="39">
        <v>1</v>
      </c>
      <c r="C82" s="42">
        <v>2</v>
      </c>
      <c r="D82" s="42">
        <v>3</v>
      </c>
      <c r="E82" s="125"/>
      <c r="F82" s="126"/>
      <c r="G82" s="126"/>
      <c r="H82" s="126"/>
      <c r="I82" s="127"/>
      <c r="J82" s="31">
        <v>4</v>
      </c>
      <c r="K82" s="31">
        <v>5</v>
      </c>
      <c r="M82" s="10"/>
    </row>
    <row r="83" spans="2:13" ht="27" customHeight="1" x14ac:dyDescent="0.2">
      <c r="B83" s="91" t="s">
        <v>64</v>
      </c>
      <c r="C83" s="43">
        <f>26459710710.91</f>
        <v>26459710710.91</v>
      </c>
      <c r="D83" s="43">
        <f>26694617960.89</f>
        <v>26694617960.889999</v>
      </c>
      <c r="E83" s="43" t="s">
        <v>58</v>
      </c>
      <c r="F83" s="43" t="s">
        <v>58</v>
      </c>
      <c r="G83" s="43" t="s">
        <v>58</v>
      </c>
      <c r="H83" s="43" t="s">
        <v>58</v>
      </c>
      <c r="I83" s="43" t="s">
        <v>58</v>
      </c>
      <c r="J83" s="37">
        <f t="shared" ref="J83:J91" si="11">IF($D$83=0,"",100*$D83/$D$83)</f>
        <v>100</v>
      </c>
      <c r="K83" s="36">
        <f t="shared" ref="K83:K96" si="12">IF(C83=0,"",100*D83/C83)</f>
        <v>100.88779220811035</v>
      </c>
    </row>
    <row r="84" spans="2:13" ht="36" customHeight="1" x14ac:dyDescent="0.2">
      <c r="B84" s="99" t="s">
        <v>108</v>
      </c>
      <c r="C84" s="44">
        <f>9006969336.8</f>
        <v>9006969336.7999992</v>
      </c>
      <c r="D84" s="44">
        <f>109651748.23</f>
        <v>109651748.23</v>
      </c>
      <c r="E84" s="43" t="s">
        <v>58</v>
      </c>
      <c r="F84" s="43" t="s">
        <v>58</v>
      </c>
      <c r="G84" s="43" t="s">
        <v>58</v>
      </c>
      <c r="H84" s="43" t="s">
        <v>58</v>
      </c>
      <c r="I84" s="43" t="s">
        <v>58</v>
      </c>
      <c r="J84" s="50">
        <f t="shared" si="11"/>
        <v>0.41076350442868148</v>
      </c>
      <c r="K84" s="51">
        <f t="shared" si="12"/>
        <v>1.2174100313852865</v>
      </c>
    </row>
    <row r="85" spans="2:13" ht="22.5" x14ac:dyDescent="0.2">
      <c r="B85" s="100" t="s">
        <v>84</v>
      </c>
      <c r="C85" s="63">
        <f>315081981.71</f>
        <v>315081981.70999998</v>
      </c>
      <c r="D85" s="63">
        <f>0</f>
        <v>0</v>
      </c>
      <c r="E85" s="43" t="s">
        <v>58</v>
      </c>
      <c r="F85" s="43" t="s">
        <v>58</v>
      </c>
      <c r="G85" s="43" t="s">
        <v>58</v>
      </c>
      <c r="H85" s="43" t="s">
        <v>58</v>
      </c>
      <c r="I85" s="43" t="s">
        <v>58</v>
      </c>
      <c r="J85" s="64">
        <f t="shared" si="11"/>
        <v>0</v>
      </c>
      <c r="K85" s="58">
        <f t="shared" si="12"/>
        <v>0</v>
      </c>
    </row>
    <row r="86" spans="2:13" ht="13.5" customHeight="1" x14ac:dyDescent="0.2">
      <c r="B86" s="101" t="s">
        <v>85</v>
      </c>
      <c r="C86" s="63">
        <f>86137471.24</f>
        <v>86137471.239999995</v>
      </c>
      <c r="D86" s="63">
        <f>8464136.46</f>
        <v>8464136.4600000009</v>
      </c>
      <c r="E86" s="43" t="s">
        <v>58</v>
      </c>
      <c r="F86" s="43" t="s">
        <v>58</v>
      </c>
      <c r="G86" s="43" t="s">
        <v>58</v>
      </c>
      <c r="H86" s="43" t="s">
        <v>58</v>
      </c>
      <c r="I86" s="43" t="s">
        <v>58</v>
      </c>
      <c r="J86" s="64">
        <f t="shared" si="11"/>
        <v>3.1707276996436953E-2</v>
      </c>
      <c r="K86" s="58">
        <f t="shared" si="12"/>
        <v>9.8263117527758084</v>
      </c>
    </row>
    <row r="87" spans="2:13" ht="50.1" customHeight="1" x14ac:dyDescent="0.2">
      <c r="B87" s="101" t="s">
        <v>101</v>
      </c>
      <c r="C87" s="63">
        <f>2699114877.06</f>
        <v>2699114877.0599999</v>
      </c>
      <c r="D87" s="63">
        <f>5430364728.58</f>
        <v>5430364728.5799999</v>
      </c>
      <c r="E87" s="43" t="s">
        <v>58</v>
      </c>
      <c r="F87" s="43" t="s">
        <v>58</v>
      </c>
      <c r="G87" s="43" t="s">
        <v>58</v>
      </c>
      <c r="H87" s="43" t="s">
        <v>58</v>
      </c>
      <c r="I87" s="43" t="s">
        <v>58</v>
      </c>
      <c r="J87" s="64">
        <f t="shared" si="11"/>
        <v>20.34254521467949</v>
      </c>
      <c r="K87" s="58">
        <f t="shared" si="12"/>
        <v>201.19057453734621</v>
      </c>
    </row>
    <row r="88" spans="2:13" ht="35.1" customHeight="1" x14ac:dyDescent="0.2">
      <c r="B88" s="101" t="s">
        <v>98</v>
      </c>
      <c r="C88" s="63">
        <f>6075288131.41</f>
        <v>6075288131.4099998</v>
      </c>
      <c r="D88" s="63">
        <f>7125050045.39</f>
        <v>7125050045.3900003</v>
      </c>
      <c r="E88" s="43" t="s">
        <v>58</v>
      </c>
      <c r="F88" s="43" t="s">
        <v>58</v>
      </c>
      <c r="G88" s="43" t="s">
        <v>58</v>
      </c>
      <c r="H88" s="43" t="s">
        <v>58</v>
      </c>
      <c r="I88" s="43" t="s">
        <v>58</v>
      </c>
      <c r="J88" s="64">
        <f t="shared" si="11"/>
        <v>26.690960911404819</v>
      </c>
      <c r="K88" s="58">
        <f t="shared" si="12"/>
        <v>117.27921196943072</v>
      </c>
    </row>
    <row r="89" spans="2:13" ht="13.5" customHeight="1" x14ac:dyDescent="0.2">
      <c r="B89" s="101" t="s">
        <v>86</v>
      </c>
      <c r="C89" s="63">
        <f>0</f>
        <v>0</v>
      </c>
      <c r="D89" s="63">
        <f>0</f>
        <v>0</v>
      </c>
      <c r="E89" s="43" t="s">
        <v>58</v>
      </c>
      <c r="F89" s="43" t="s">
        <v>58</v>
      </c>
      <c r="G89" s="43" t="s">
        <v>58</v>
      </c>
      <c r="H89" s="43" t="s">
        <v>58</v>
      </c>
      <c r="I89" s="43" t="s">
        <v>58</v>
      </c>
      <c r="J89" s="64">
        <f t="shared" si="11"/>
        <v>0</v>
      </c>
      <c r="K89" s="58" t="str">
        <f t="shared" si="12"/>
        <v/>
      </c>
    </row>
    <row r="90" spans="2:13" ht="35.1" customHeight="1" x14ac:dyDescent="0.2">
      <c r="B90" s="101" t="s">
        <v>94</v>
      </c>
      <c r="C90" s="63">
        <f>8506435320.97</f>
        <v>8506435320.9700003</v>
      </c>
      <c r="D90" s="63">
        <f>13928865113.81</f>
        <v>13928865113.809999</v>
      </c>
      <c r="E90" s="43" t="s">
        <v>58</v>
      </c>
      <c r="F90" s="43" t="s">
        <v>58</v>
      </c>
      <c r="G90" s="43" t="s">
        <v>58</v>
      </c>
      <c r="H90" s="43" t="s">
        <v>58</v>
      </c>
      <c r="I90" s="43" t="s">
        <v>58</v>
      </c>
      <c r="J90" s="64">
        <f t="shared" si="11"/>
        <v>52.178551999571717</v>
      </c>
      <c r="K90" s="58">
        <f t="shared" si="12"/>
        <v>163.74503053556015</v>
      </c>
    </row>
    <row r="91" spans="2:13" ht="13.5" customHeight="1" x14ac:dyDescent="0.2">
      <c r="B91" s="101" t="s">
        <v>78</v>
      </c>
      <c r="C91" s="63">
        <f>85765573.43</f>
        <v>85765573.430000007</v>
      </c>
      <c r="D91" s="63">
        <f>92222188.42</f>
        <v>92222188.420000002</v>
      </c>
      <c r="E91" s="43" t="s">
        <v>58</v>
      </c>
      <c r="F91" s="43" t="s">
        <v>58</v>
      </c>
      <c r="G91" s="43" t="s">
        <v>58</v>
      </c>
      <c r="H91" s="43" t="s">
        <v>58</v>
      </c>
      <c r="I91" s="43" t="s">
        <v>58</v>
      </c>
      <c r="J91" s="64">
        <f t="shared" si="11"/>
        <v>0.3454710929188563</v>
      </c>
      <c r="K91" s="58">
        <f t="shared" si="12"/>
        <v>107.52821293181202</v>
      </c>
    </row>
    <row r="92" spans="2:13" ht="27" customHeight="1" x14ac:dyDescent="0.2">
      <c r="B92" s="91" t="s">
        <v>65</v>
      </c>
      <c r="C92" s="49">
        <f>4705725741.53</f>
        <v>4705725741.5299997</v>
      </c>
      <c r="D92" s="49">
        <f>2206124360.77</f>
        <v>2206124360.77</v>
      </c>
      <c r="E92" s="43" t="s">
        <v>58</v>
      </c>
      <c r="F92" s="43" t="s">
        <v>58</v>
      </c>
      <c r="G92" s="43" t="s">
        <v>58</v>
      </c>
      <c r="H92" s="43" t="s">
        <v>58</v>
      </c>
      <c r="I92" s="43" t="s">
        <v>58</v>
      </c>
      <c r="J92" s="37">
        <f>IF($D$92=0,"",100*$D92/$D$92)</f>
        <v>100</v>
      </c>
      <c r="K92" s="36">
        <f t="shared" si="12"/>
        <v>46.88170288591256</v>
      </c>
    </row>
    <row r="93" spans="2:13" ht="36" customHeight="1" x14ac:dyDescent="0.2">
      <c r="B93" s="99" t="s">
        <v>103</v>
      </c>
      <c r="C93" s="44">
        <f>4068976984.91</f>
        <v>4068976984.9099998</v>
      </c>
      <c r="D93" s="48">
        <f>1028072546.27</f>
        <v>1028072546.27</v>
      </c>
      <c r="E93" s="43" t="s">
        <v>58</v>
      </c>
      <c r="F93" s="43" t="s">
        <v>58</v>
      </c>
      <c r="G93" s="43" t="s">
        <v>58</v>
      </c>
      <c r="H93" s="43" t="s">
        <v>58</v>
      </c>
      <c r="I93" s="43" t="s">
        <v>58</v>
      </c>
      <c r="J93" s="50">
        <f>IF($D$92=0,"",100*$D93/$D$92)</f>
        <v>46.600842842385077</v>
      </c>
      <c r="K93" s="51">
        <f t="shared" si="12"/>
        <v>25.26611848832415</v>
      </c>
    </row>
    <row r="94" spans="2:13" ht="13.5" customHeight="1" x14ac:dyDescent="0.2">
      <c r="B94" s="100" t="s">
        <v>87</v>
      </c>
      <c r="C94" s="63">
        <f>104578920</f>
        <v>104578920</v>
      </c>
      <c r="D94" s="63">
        <f>12588455</f>
        <v>12588455</v>
      </c>
      <c r="E94" s="43" t="s">
        <v>58</v>
      </c>
      <c r="F94" s="43" t="s">
        <v>58</v>
      </c>
      <c r="G94" s="43" t="s">
        <v>58</v>
      </c>
      <c r="H94" s="43" t="s">
        <v>58</v>
      </c>
      <c r="I94" s="43" t="s">
        <v>58</v>
      </c>
      <c r="J94" s="64">
        <f>IF($D$92=0,"",100*$D94/$D$92)</f>
        <v>0.57061402447894061</v>
      </c>
      <c r="K94" s="58">
        <f t="shared" si="12"/>
        <v>12.037277684642373</v>
      </c>
    </row>
    <row r="95" spans="2:13" ht="13.5" customHeight="1" x14ac:dyDescent="0.2">
      <c r="B95" s="101" t="s">
        <v>88</v>
      </c>
      <c r="C95" s="63">
        <f>51358790.49</f>
        <v>51358790.490000002</v>
      </c>
      <c r="D95" s="63">
        <f>13306246.76</f>
        <v>13306246.76</v>
      </c>
      <c r="E95" s="43" t="s">
        <v>58</v>
      </c>
      <c r="F95" s="43" t="s">
        <v>58</v>
      </c>
      <c r="G95" s="43" t="s">
        <v>58</v>
      </c>
      <c r="H95" s="43" t="s">
        <v>58</v>
      </c>
      <c r="I95" s="43" t="s">
        <v>58</v>
      </c>
      <c r="J95" s="64">
        <f>IF($D$92=0,"",100*$D95/$D$92)</f>
        <v>0.60315034803186451</v>
      </c>
      <c r="K95" s="58">
        <f t="shared" si="12"/>
        <v>25.908411457997325</v>
      </c>
    </row>
    <row r="96" spans="2:13" ht="13.5" customHeight="1" x14ac:dyDescent="0.2">
      <c r="B96" s="101" t="s">
        <v>33</v>
      </c>
      <c r="C96" s="63">
        <f>585389966.13</f>
        <v>585389966.13</v>
      </c>
      <c r="D96" s="63">
        <f>1164745567.74</f>
        <v>1164745567.74</v>
      </c>
      <c r="E96" s="43" t="s">
        <v>58</v>
      </c>
      <c r="F96" s="43" t="s">
        <v>58</v>
      </c>
      <c r="G96" s="43" t="s">
        <v>58</v>
      </c>
      <c r="H96" s="43" t="s">
        <v>58</v>
      </c>
      <c r="I96" s="43" t="s">
        <v>58</v>
      </c>
      <c r="J96" s="64">
        <f>IF($D$92=0,"",100*$D96/$D$92)</f>
        <v>52.796006809583062</v>
      </c>
      <c r="K96" s="58">
        <f t="shared" si="12"/>
        <v>198.96917185651591</v>
      </c>
    </row>
    <row r="97" spans="2:4" ht="7.5" customHeight="1" x14ac:dyDescent="0.2"/>
    <row r="98" spans="2:4" x14ac:dyDescent="0.2">
      <c r="B98" s="40" t="s">
        <v>16</v>
      </c>
      <c r="C98" s="67" t="s">
        <v>17</v>
      </c>
      <c r="D98" s="19" t="s">
        <v>1</v>
      </c>
    </row>
    <row r="99" spans="2:4" x14ac:dyDescent="0.2">
      <c r="B99" s="40"/>
      <c r="C99" s="112" t="s">
        <v>76</v>
      </c>
      <c r="D99" s="113"/>
    </row>
    <row r="100" spans="2:4" x14ac:dyDescent="0.2">
      <c r="B100" s="39">
        <v>1</v>
      </c>
      <c r="C100" s="42">
        <v>2</v>
      </c>
      <c r="D100" s="31">
        <v>3</v>
      </c>
    </row>
    <row r="101" spans="2:4" ht="37.5" customHeight="1" x14ac:dyDescent="0.2">
      <c r="B101" s="102" t="s">
        <v>106</v>
      </c>
      <c r="C101" s="47">
        <f>21795633118.62</f>
        <v>21795633118.619999</v>
      </c>
      <c r="D101" s="27">
        <f>0</f>
        <v>0</v>
      </c>
    </row>
    <row r="102" spans="2:4" ht="36" customHeight="1" x14ac:dyDescent="0.2">
      <c r="B102" s="103" t="s">
        <v>79</v>
      </c>
      <c r="C102" s="48">
        <f>273888366.54</f>
        <v>273888366.54000002</v>
      </c>
      <c r="D102" s="74">
        <f>0</f>
        <v>0</v>
      </c>
    </row>
    <row r="103" spans="2:4" ht="13.5" customHeight="1" x14ac:dyDescent="0.2">
      <c r="B103" s="103" t="s">
        <v>80</v>
      </c>
      <c r="C103" s="48">
        <f>6551070322.35</f>
        <v>6551070322.3500004</v>
      </c>
      <c r="D103" s="74">
        <f>0</f>
        <v>0</v>
      </c>
    </row>
    <row r="104" spans="2:4" ht="25.5" customHeight="1" x14ac:dyDescent="0.2">
      <c r="B104" s="103" t="s">
        <v>81</v>
      </c>
      <c r="C104" s="48">
        <f>0</f>
        <v>0</v>
      </c>
      <c r="D104" s="74">
        <f>0</f>
        <v>0</v>
      </c>
    </row>
    <row r="105" spans="2:4" ht="57.95" customHeight="1" x14ac:dyDescent="0.2">
      <c r="B105" s="103" t="s">
        <v>99</v>
      </c>
      <c r="C105" s="48">
        <f>2159812040.94</f>
        <v>2159812040.9400001</v>
      </c>
      <c r="D105" s="74">
        <f>0</f>
        <v>0</v>
      </c>
    </row>
    <row r="106" spans="2:4" ht="81.95" customHeight="1" x14ac:dyDescent="0.2">
      <c r="B106" s="103" t="s">
        <v>82</v>
      </c>
      <c r="C106" s="48">
        <f>7007971909.68</f>
        <v>7007971909.6800003</v>
      </c>
      <c r="D106" s="74">
        <f>0</f>
        <v>0</v>
      </c>
    </row>
    <row r="107" spans="2:4" ht="150.94999999999999" customHeight="1" x14ac:dyDescent="0.2">
      <c r="B107" s="98" t="s">
        <v>104</v>
      </c>
      <c r="C107" s="48">
        <f>5767304161.81</f>
        <v>5767304161.8100004</v>
      </c>
      <c r="D107" s="74">
        <f>0</f>
        <v>0</v>
      </c>
    </row>
    <row r="108" spans="2:4" ht="22.5" x14ac:dyDescent="0.2">
      <c r="B108" s="98" t="s">
        <v>97</v>
      </c>
      <c r="C108" s="48">
        <f>35586317.3</f>
        <v>35586317.299999997</v>
      </c>
      <c r="D108" s="74">
        <f>0</f>
        <v>0</v>
      </c>
    </row>
    <row r="109" spans="2:4" ht="18" customHeight="1" x14ac:dyDescent="0.2"/>
    <row r="110" spans="2:4" ht="28.5" customHeight="1" x14ac:dyDescent="0.2"/>
    <row r="111" spans="2:4" x14ac:dyDescent="0.2">
      <c r="B111" s="65" t="s">
        <v>66</v>
      </c>
      <c r="C111" s="33">
        <f>1</f>
        <v>1</v>
      </c>
      <c r="D111" s="33" t="str">
        <f>IF(C111=1,"I Kwartał",IF(C111=2,"II Kwartały",IF(C111=3,"III Kwartały",IF(C111=4,"IV Kwartały","-"))))</f>
        <v>I Kwartał</v>
      </c>
    </row>
    <row r="112" spans="2:4" x14ac:dyDescent="0.2">
      <c r="B112" s="65" t="s">
        <v>67</v>
      </c>
      <c r="C112" s="93">
        <f>2022</f>
        <v>2022</v>
      </c>
    </row>
    <row r="113" spans="2:4" x14ac:dyDescent="0.2">
      <c r="B113" s="65" t="s">
        <v>68</v>
      </c>
      <c r="C113" s="128" t="str">
        <f>"May 19 2022 12:00AM"</f>
        <v>May 19 2022 12:00AM</v>
      </c>
      <c r="D113" s="129"/>
    </row>
  </sheetData>
  <mergeCells count="20">
    <mergeCell ref="C113:D113"/>
    <mergeCell ref="D56:D58"/>
    <mergeCell ref="E56:E58"/>
    <mergeCell ref="F57:F58"/>
    <mergeCell ref="F56:H56"/>
    <mergeCell ref="C59:I59"/>
    <mergeCell ref="C81:D81"/>
    <mergeCell ref="C99:D99"/>
    <mergeCell ref="J81:K81"/>
    <mergeCell ref="C56:C58"/>
    <mergeCell ref="B56:B59"/>
    <mergeCell ref="J56:J58"/>
    <mergeCell ref="J59:K59"/>
    <mergeCell ref="E80:I82"/>
    <mergeCell ref="K56:K58"/>
    <mergeCell ref="B3:B4"/>
    <mergeCell ref="J4:L4"/>
    <mergeCell ref="I56:I58"/>
    <mergeCell ref="G57:H57"/>
    <mergeCell ref="C4:I4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95" orientation="landscape" useFirstPageNumber="1" r:id="rId1"/>
  <headerFooter alignWithMargins="0">
    <oddFooter>&amp;RStrona &amp;P z &amp;N</oddFooter>
  </headerFooter>
  <rowBreaks count="4" manualBreakCount="4">
    <brk id="21" max="16383" man="1"/>
    <brk id="53" max="16383" man="1"/>
    <brk id="77" max="16383" man="1"/>
    <brk id="9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2018-03-19T09:08:58Z</cp:lastPrinted>
  <dcterms:created xsi:type="dcterms:W3CDTF">2001-05-17T08:58:03Z</dcterms:created>
  <dcterms:modified xsi:type="dcterms:W3CDTF">2022-06-13T19:47:46Z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2022-06-01T15:11:49.7443772+02:00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GRN-a157e64f-b2d8-4344-b63a-be4ab8451fe4</vt:lpwstr>
  </property>
  <property fmtid="{D5CDD505-2E9C-101B-9397-08002B2CF9AE}" pid="7" name="MFHash">
    <vt:lpwstr>lKoZPOlwMDvHqF38lv0pfu8g3MmyOnNc8oYSPpdBgYA=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