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d:\HHCY\Documents\```ST7\Besti@\2025\I kwartał\2025.05.17 Dane ostateczne\Zbiorówki_2025_k1_2025.05.17\Publikacja\"/>
    </mc:Choice>
  </mc:AlternateContent>
  <xr:revisionPtr revIDLastSave="0" documentId="13_ncr:1_{9F37BE1C-72CF-449A-9A88-6319A07BA9A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och_wyd" sheetId="4" r:id="rId1"/>
  </sheets>
  <definedNames>
    <definedName name="_xlnm.Print_Area" localSheetId="0">doch_wyd!$B$1:$L$116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7" i="4" l="1"/>
  <c r="C116" i="4"/>
  <c r="C115" i="4"/>
  <c r="B43" i="4" s="1"/>
  <c r="C114" i="4"/>
  <c r="D112" i="4"/>
  <c r="C112" i="4"/>
  <c r="D111" i="4"/>
  <c r="C111" i="4"/>
  <c r="D110" i="4"/>
  <c r="C110" i="4"/>
  <c r="D109" i="4"/>
  <c r="C109" i="4"/>
  <c r="D108" i="4"/>
  <c r="C108" i="4"/>
  <c r="D107" i="4"/>
  <c r="C107" i="4"/>
  <c r="D106" i="4"/>
  <c r="C106" i="4"/>
  <c r="D105" i="4"/>
  <c r="C105" i="4"/>
  <c r="D104" i="4"/>
  <c r="C104" i="4"/>
  <c r="D99" i="4"/>
  <c r="C99" i="4"/>
  <c r="D98" i="4"/>
  <c r="C98" i="4"/>
  <c r="D97" i="4"/>
  <c r="C97" i="4"/>
  <c r="D96" i="4"/>
  <c r="C96" i="4"/>
  <c r="D95" i="4"/>
  <c r="C95" i="4"/>
  <c r="D94" i="4"/>
  <c r="C94" i="4"/>
  <c r="D93" i="4"/>
  <c r="C93" i="4"/>
  <c r="D92" i="4"/>
  <c r="C92" i="4"/>
  <c r="D91" i="4"/>
  <c r="C91" i="4"/>
  <c r="D90" i="4"/>
  <c r="C90" i="4"/>
  <c r="D89" i="4"/>
  <c r="C89" i="4"/>
  <c r="D88" i="4"/>
  <c r="C88" i="4"/>
  <c r="D87" i="4"/>
  <c r="C87" i="4"/>
  <c r="D86" i="4"/>
  <c r="C86" i="4"/>
  <c r="D85" i="4"/>
  <c r="C85" i="4"/>
  <c r="D84" i="4"/>
  <c r="C84" i="4"/>
  <c r="D83" i="4"/>
  <c r="C83" i="4"/>
  <c r="I77" i="4"/>
  <c r="H77" i="4"/>
  <c r="G77" i="4"/>
  <c r="F77" i="4"/>
  <c r="E77" i="4"/>
  <c r="D77" i="4"/>
  <c r="C77" i="4"/>
  <c r="I76" i="4"/>
  <c r="H76" i="4"/>
  <c r="G76" i="4"/>
  <c r="F76" i="4"/>
  <c r="F78" i="4" s="1"/>
  <c r="E76" i="4"/>
  <c r="D76" i="4"/>
  <c r="C76" i="4"/>
  <c r="G72" i="4"/>
  <c r="F72" i="4"/>
  <c r="E72" i="4"/>
  <c r="D72" i="4"/>
  <c r="C72" i="4"/>
  <c r="G71" i="4"/>
  <c r="F71" i="4"/>
  <c r="E71" i="4"/>
  <c r="D71" i="4"/>
  <c r="C71" i="4"/>
  <c r="G67" i="4"/>
  <c r="F67" i="4"/>
  <c r="E67" i="4"/>
  <c r="D67" i="4"/>
  <c r="C67" i="4"/>
  <c r="G66" i="4"/>
  <c r="F66" i="4"/>
  <c r="E66" i="4"/>
  <c r="D66" i="4"/>
  <c r="C66" i="4"/>
  <c r="I58" i="4"/>
  <c r="H58" i="4"/>
  <c r="G58" i="4"/>
  <c r="G59" i="4" s="1"/>
  <c r="F58" i="4"/>
  <c r="E58" i="4"/>
  <c r="D58" i="4"/>
  <c r="C58" i="4"/>
  <c r="I57" i="4"/>
  <c r="H57" i="4"/>
  <c r="H59" i="4" s="1"/>
  <c r="G57" i="4"/>
  <c r="F57" i="4"/>
  <c r="E57" i="4"/>
  <c r="D57" i="4"/>
  <c r="C57" i="4"/>
  <c r="I56" i="4"/>
  <c r="H56" i="4"/>
  <c r="G56" i="4"/>
  <c r="F56" i="4"/>
  <c r="E56" i="4"/>
  <c r="D56" i="4"/>
  <c r="C56" i="4"/>
  <c r="I55" i="4"/>
  <c r="H55" i="4"/>
  <c r="G55" i="4"/>
  <c r="F55" i="4"/>
  <c r="E55" i="4"/>
  <c r="D55" i="4"/>
  <c r="C55" i="4"/>
  <c r="I54" i="4"/>
  <c r="H54" i="4"/>
  <c r="G54" i="4"/>
  <c r="F54" i="4"/>
  <c r="E54" i="4"/>
  <c r="D54" i="4"/>
  <c r="C54" i="4"/>
  <c r="I52" i="4"/>
  <c r="H52" i="4"/>
  <c r="G52" i="4"/>
  <c r="F52" i="4"/>
  <c r="E52" i="4"/>
  <c r="D52" i="4"/>
  <c r="C52" i="4"/>
  <c r="I51" i="4"/>
  <c r="H51" i="4"/>
  <c r="G51" i="4"/>
  <c r="F51" i="4"/>
  <c r="E51" i="4"/>
  <c r="D51" i="4"/>
  <c r="C51" i="4"/>
  <c r="I50" i="4"/>
  <c r="H50" i="4"/>
  <c r="G50" i="4"/>
  <c r="F50" i="4"/>
  <c r="E50" i="4"/>
  <c r="D50" i="4"/>
  <c r="C50" i="4"/>
  <c r="D40" i="4"/>
  <c r="K40" i="4" s="1"/>
  <c r="C40" i="4"/>
  <c r="D38" i="4"/>
  <c r="C38" i="4"/>
  <c r="K38" i="4" s="1"/>
  <c r="D37" i="4"/>
  <c r="J37" i="4" s="1"/>
  <c r="C37" i="4"/>
  <c r="D36" i="4"/>
  <c r="C36" i="4"/>
  <c r="D35" i="4"/>
  <c r="C35" i="4"/>
  <c r="K35" i="4" s="1"/>
  <c r="D34" i="4"/>
  <c r="C34" i="4"/>
  <c r="D33" i="4"/>
  <c r="C33" i="4"/>
  <c r="D32" i="4"/>
  <c r="C32" i="4"/>
  <c r="D31" i="4"/>
  <c r="C31" i="4"/>
  <c r="D30" i="4"/>
  <c r="C30" i="4"/>
  <c r="D29" i="4"/>
  <c r="C29" i="4"/>
  <c r="D28" i="4"/>
  <c r="C28" i="4"/>
  <c r="D27" i="4"/>
  <c r="C27" i="4"/>
  <c r="D26" i="4"/>
  <c r="J26" i="4" s="1"/>
  <c r="C26" i="4"/>
  <c r="D25" i="4"/>
  <c r="C25" i="4"/>
  <c r="D24" i="4"/>
  <c r="C24" i="4"/>
  <c r="D23" i="4"/>
  <c r="C23" i="4"/>
  <c r="D22" i="4"/>
  <c r="K22" i="4" s="1"/>
  <c r="C22" i="4"/>
  <c r="D21" i="4"/>
  <c r="C21" i="4"/>
  <c r="D20" i="4"/>
  <c r="C20" i="4"/>
  <c r="D19" i="4"/>
  <c r="C19" i="4"/>
  <c r="K19" i="4" s="1"/>
  <c r="D18" i="4"/>
  <c r="J18" i="4" s="1"/>
  <c r="C18" i="4"/>
  <c r="D17" i="4"/>
  <c r="C17" i="4"/>
  <c r="D16" i="4"/>
  <c r="K16" i="4" s="1"/>
  <c r="C16" i="4"/>
  <c r="D15" i="4"/>
  <c r="C15" i="4"/>
  <c r="D14" i="4"/>
  <c r="C14" i="4"/>
  <c r="D13" i="4"/>
  <c r="C13" i="4"/>
  <c r="D9" i="4"/>
  <c r="C9" i="4"/>
  <c r="D8" i="4"/>
  <c r="C8" i="4"/>
  <c r="D7" i="4"/>
  <c r="C7" i="4"/>
  <c r="D5" i="4"/>
  <c r="C5" i="4"/>
  <c r="K20" i="4"/>
  <c r="I78" i="4"/>
  <c r="K77" i="4"/>
  <c r="K97" i="4"/>
  <c r="K13" i="4"/>
  <c r="K85" i="4"/>
  <c r="D12" i="4"/>
  <c r="J12" i="4" s="1"/>
  <c r="I53" i="4"/>
  <c r="I59" i="4"/>
  <c r="K27" i="4"/>
  <c r="K99" i="4"/>
  <c r="K31" i="4"/>
  <c r="K57" i="4"/>
  <c r="K87" i="4"/>
  <c r="K33" i="4"/>
  <c r="K92" i="4"/>
  <c r="K21" i="4"/>
  <c r="K54" i="4"/>
  <c r="K93" i="4"/>
  <c r="K25" i="4"/>
  <c r="C60" i="4"/>
  <c r="C39" i="4"/>
  <c r="K5" i="4"/>
  <c r="K98" i="4"/>
  <c r="K14" i="4"/>
  <c r="K51" i="4"/>
  <c r="K86" i="4"/>
  <c r="K32" i="4"/>
  <c r="K91" i="4"/>
  <c r="J38" i="4"/>
  <c r="J31" i="4"/>
  <c r="J13" i="4"/>
  <c r="J35" i="4"/>
  <c r="J17" i="4"/>
  <c r="J28" i="4"/>
  <c r="J32" i="4"/>
  <c r="J20" i="4"/>
  <c r="J5" i="4"/>
  <c r="J30" i="4"/>
  <c r="J23" i="4"/>
  <c r="D39" i="4"/>
  <c r="J29" i="4"/>
  <c r="J9" i="4"/>
  <c r="D60" i="4"/>
  <c r="J34" i="4"/>
  <c r="J27" i="4"/>
  <c r="J33" i="4"/>
  <c r="J15" i="4"/>
  <c r="J25" i="4"/>
  <c r="J8" i="4"/>
  <c r="J24" i="4"/>
  <c r="J16" i="4"/>
  <c r="J19" i="4"/>
  <c r="J14" i="4"/>
  <c r="J21" i="4"/>
  <c r="J36" i="4"/>
  <c r="J7" i="4"/>
  <c r="K28" i="4"/>
  <c r="K76" i="4"/>
  <c r="C78" i="4"/>
  <c r="K88" i="4"/>
  <c r="K23" i="4"/>
  <c r="K52" i="4"/>
  <c r="E78" i="4"/>
  <c r="K83" i="4"/>
  <c r="K89" i="4"/>
  <c r="K95" i="4"/>
  <c r="F53" i="4"/>
  <c r="F59" i="4"/>
  <c r="J93" i="4"/>
  <c r="J89" i="4"/>
  <c r="J86" i="4"/>
  <c r="J85" i="4"/>
  <c r="J84" i="4"/>
  <c r="J91" i="4"/>
  <c r="J92" i="4"/>
  <c r="J83" i="4"/>
  <c r="J87" i="4"/>
  <c r="J88" i="4"/>
  <c r="J90" i="4"/>
  <c r="K56" i="4"/>
  <c r="K50" i="4"/>
  <c r="C53" i="4"/>
  <c r="C59" i="4" s="1"/>
  <c r="K94" i="4"/>
  <c r="J52" i="4"/>
  <c r="J54" i="4"/>
  <c r="J56" i="4"/>
  <c r="D53" i="4"/>
  <c r="D59" i="4" s="1"/>
  <c r="J59" i="4" s="1"/>
  <c r="J51" i="4"/>
  <c r="J55" i="4"/>
  <c r="J57" i="4"/>
  <c r="J50" i="4"/>
  <c r="J58" i="4"/>
  <c r="J99" i="4"/>
  <c r="J98" i="4"/>
  <c r="J97" i="4"/>
  <c r="J94" i="4"/>
  <c r="J95" i="4"/>
  <c r="J96" i="4"/>
  <c r="K17" i="4"/>
  <c r="D114" i="4"/>
  <c r="K9" i="4"/>
  <c r="K24" i="4"/>
  <c r="K30" i="4"/>
  <c r="K36" i="4"/>
  <c r="G53" i="4"/>
  <c r="K55" i="4"/>
  <c r="G78" i="4"/>
  <c r="K84" i="4"/>
  <c r="K90" i="4"/>
  <c r="K96" i="4"/>
  <c r="K7" i="4"/>
  <c r="K34" i="4"/>
  <c r="K58" i="4"/>
  <c r="J77" i="4"/>
  <c r="J76" i="4"/>
  <c r="D78" i="4"/>
  <c r="J78" i="4"/>
  <c r="K8" i="4"/>
  <c r="K29" i="4"/>
  <c r="E53" i="4"/>
  <c r="E59" i="4" s="1"/>
  <c r="H53" i="4"/>
  <c r="H78" i="4"/>
  <c r="J39" i="4"/>
  <c r="K59" i="4" l="1"/>
  <c r="J53" i="4"/>
  <c r="B1" i="4"/>
  <c r="B79" i="4"/>
  <c r="K78" i="4"/>
  <c r="K53" i="4"/>
  <c r="J40" i="4"/>
  <c r="D41" i="4"/>
  <c r="K37" i="4"/>
  <c r="K26" i="4"/>
  <c r="J22" i="4"/>
  <c r="C12" i="4"/>
  <c r="K12" i="4" s="1"/>
  <c r="K18" i="4"/>
  <c r="D11" i="4"/>
  <c r="C11" i="4"/>
  <c r="C6" i="4" s="1"/>
  <c r="C10" i="4" s="1"/>
  <c r="K15" i="4"/>
  <c r="K39" i="4"/>
  <c r="C41" i="4"/>
  <c r="D61" i="4" l="1"/>
  <c r="J41" i="4"/>
  <c r="K11" i="4"/>
  <c r="J11" i="4"/>
  <c r="D6" i="4"/>
  <c r="K41" i="4"/>
  <c r="C61" i="4"/>
  <c r="L6" i="4" l="1"/>
  <c r="J6" i="4"/>
  <c r="L9" i="4"/>
  <c r="L8" i="4"/>
  <c r="L7" i="4"/>
  <c r="D10" i="4"/>
  <c r="K6" i="4"/>
  <c r="J10" i="4" l="1"/>
  <c r="K10" i="4"/>
  <c r="L10" i="4"/>
</calcChain>
</file>

<file path=xl/sharedStrings.xml><?xml version="1.0" encoding="utf-8"?>
<sst xmlns="http://schemas.openxmlformats.org/spreadsheetml/2006/main" count="416" uniqueCount="111">
  <si>
    <t xml:space="preserve">Wyszczególnienie </t>
  </si>
  <si>
    <t xml:space="preserve">Wykonanie </t>
  </si>
  <si>
    <t xml:space="preserve">Struktura </t>
  </si>
  <si>
    <t>Struktura dochodów  własnych</t>
  </si>
  <si>
    <t>w %%</t>
  </si>
  <si>
    <t>DOCHODY OGÓŁEM</t>
  </si>
  <si>
    <t>w tym:   inwestycyjne</t>
  </si>
  <si>
    <t xml:space="preserve">na zadania własne </t>
  </si>
  <si>
    <t>otrzymane z funduszy celowych</t>
  </si>
  <si>
    <t>na zadania z zakresu adm. rządowej</t>
  </si>
  <si>
    <t xml:space="preserve">na zadania realizowane na podstawie porozumień  z org. adm. rządowej </t>
  </si>
  <si>
    <t>na zadania realizowane na podstawie porozumień między jst</t>
  </si>
  <si>
    <t>Zobowiązania wg stanu na koniec 
okresu sprawozdawczego</t>
  </si>
  <si>
    <t>w tym:   wydatki na inwestycje</t>
  </si>
  <si>
    <t xml:space="preserve">wydatki majątkowe      </t>
  </si>
  <si>
    <t xml:space="preserve">WYNIK  </t>
  </si>
  <si>
    <t>Wyszczególnienie</t>
  </si>
  <si>
    <t>Plan (po zmianach)</t>
  </si>
  <si>
    <t>Wskaźnik 
(3:2)</t>
  </si>
  <si>
    <t>dochody z majątku</t>
  </si>
  <si>
    <t xml:space="preserve">pozostałe dochody </t>
  </si>
  <si>
    <t>Struktura</t>
  </si>
  <si>
    <t>Wskaźnik</t>
  </si>
  <si>
    <t>w tym wymagalne:</t>
  </si>
  <si>
    <r>
      <t xml:space="preserve">Plan 
(po zmianach)
</t>
    </r>
    <r>
      <rPr>
        <b/>
        <sz val="10"/>
        <color indexed="8"/>
        <rFont val="Arial"/>
        <family val="2"/>
        <charset val="238"/>
      </rPr>
      <t>R1</t>
    </r>
  </si>
  <si>
    <r>
      <t xml:space="preserve">Dochody 
wykonane
(wpływy minus zwroty) 
</t>
    </r>
    <r>
      <rPr>
        <b/>
        <sz val="10"/>
        <color indexed="8"/>
        <rFont val="Arial"/>
        <family val="2"/>
        <charset val="238"/>
      </rPr>
      <t>R4</t>
    </r>
  </si>
  <si>
    <t>pozostałe wydatki</t>
  </si>
  <si>
    <t>wydatki na obsługę długu</t>
  </si>
  <si>
    <t>dotacje</t>
  </si>
  <si>
    <r>
      <t xml:space="preserve">powstałe w latach ubiegłych
</t>
    </r>
    <r>
      <rPr>
        <b/>
        <sz val="10"/>
        <rFont val="Arial"/>
        <family val="2"/>
        <charset val="238"/>
      </rPr>
      <t>R12U</t>
    </r>
  </si>
  <si>
    <r>
      <t xml:space="preserve">powstałe w roku bieżącym
</t>
    </r>
    <r>
      <rPr>
        <b/>
        <sz val="10"/>
        <rFont val="Arial"/>
        <family val="2"/>
        <charset val="238"/>
      </rPr>
      <t>R12B</t>
    </r>
  </si>
  <si>
    <r>
      <t xml:space="preserve">Plan 
(po zmianach)
</t>
    </r>
    <r>
      <rPr>
        <b/>
        <sz val="10"/>
        <rFont val="Arial"/>
        <family val="2"/>
        <charset val="238"/>
      </rPr>
      <t>R1</t>
    </r>
  </si>
  <si>
    <r>
      <t xml:space="preserve">Zaangażowanie
</t>
    </r>
    <r>
      <rPr>
        <b/>
        <sz val="10"/>
        <rFont val="Arial"/>
        <family val="2"/>
        <charset val="238"/>
      </rPr>
      <t>R10</t>
    </r>
  </si>
  <si>
    <r>
      <t xml:space="preserve">Wydatki
 wykonane
</t>
    </r>
    <r>
      <rPr>
        <b/>
        <sz val="10"/>
        <rFont val="Arial"/>
        <family val="2"/>
        <charset val="238"/>
      </rPr>
      <t>R4</t>
    </r>
  </si>
  <si>
    <r>
      <t xml:space="preserve">ogółem
</t>
    </r>
    <r>
      <rPr>
        <b/>
        <sz val="10"/>
        <rFont val="Arial"/>
        <family val="2"/>
        <charset val="238"/>
      </rPr>
      <t>R11</t>
    </r>
  </si>
  <si>
    <t>Razem dochody własne 
z tego:</t>
  </si>
  <si>
    <t>Dotacje celowe 
z tego:</t>
  </si>
  <si>
    <t>WYDATKI OGÓŁEM 
z tego:</t>
  </si>
  <si>
    <t>wydatki bieżące 
z tego:</t>
  </si>
  <si>
    <t>Przychody ogółem 
z tego:</t>
  </si>
  <si>
    <t>Rozchody ogółem 
z tego:</t>
  </si>
  <si>
    <t>kwartał</t>
  </si>
  <si>
    <t>rok</t>
  </si>
  <si>
    <t>stanNa</t>
  </si>
  <si>
    <t>wydatki z tytułu udzielania poręczeń i gwarancji</t>
  </si>
  <si>
    <t>świadczenia na rzecz osób fizycznych</t>
  </si>
  <si>
    <t>w tym: inwestycyjne § 620</t>
  </si>
  <si>
    <t>tytul</t>
  </si>
  <si>
    <t>majątkowe</t>
  </si>
  <si>
    <t>bieżące</t>
  </si>
  <si>
    <t>wydatki majątkowe</t>
  </si>
  <si>
    <t>wydatki bieżące</t>
  </si>
  <si>
    <t>w złotych</t>
  </si>
  <si>
    <t>z tytułu pomocy finansowej udzielanej między jst na dofinansowanie własnych zadań</t>
  </si>
  <si>
    <t>sprzedaż papierów wartościowych wyemitowanych przez jednostkę samorządu terytorialnego</t>
  </si>
  <si>
    <t>kredyty i pożyczki</t>
  </si>
  <si>
    <t>prywatyzacja majątku jednostki samorządu terytorialnego</t>
  </si>
  <si>
    <t>wolne środki jako nadwyżka środków pieniężnych na rachunku  bieżącym budżetu jednostki samorządu terytorialnego, wynikających  z rozliczeń wyemitowanych papierów wartościowych, kredytów i  pożyczek z lat ubiegłych</t>
  </si>
  <si>
    <t>w tym: inwestycyjne § 625</t>
  </si>
  <si>
    <r>
      <t xml:space="preserve">Wydatki, które nie wygasły 
z upływem roku budżetowego) 
(art.263 ust. 2 ustawy 
o finansach publicznych) 
</t>
    </r>
    <r>
      <rPr>
        <b/>
        <sz val="10"/>
        <rFont val="Arial"/>
        <family val="2"/>
        <charset val="238"/>
      </rPr>
      <t>R9</t>
    </r>
  </si>
  <si>
    <t>Dotacje §§ 200 i 620</t>
  </si>
  <si>
    <t>Dotacje §§ 205 i 625</t>
  </si>
  <si>
    <t>kredyty, pożyczki, emisja papierów wartościowych w tym:</t>
  </si>
  <si>
    <t>ze sprzedaży papierów wartościowych</t>
  </si>
  <si>
    <t>spłata  udzielonych pożyczek</t>
  </si>
  <si>
    <t>prywatyzacja majątku JST</t>
  </si>
  <si>
    <t>wolne środki, o których mowa w art. 217 ust. 2 pkt 6 ustawy o finansach publicznych</t>
  </si>
  <si>
    <t>wykup papierów wartościowych</t>
  </si>
  <si>
    <t>otrzymane ze środków z Funduszu Przeciwdziałania COVID-19 (m.in. z Rządowego Funduszu Inwestycji Lokalnych)</t>
  </si>
  <si>
    <t>na finansowanie lub dofinansowanie zadań inwestycyjnych obiektów zabytkowych oraz prac remontowych i konserwatorskich przy zabytkach</t>
  </si>
  <si>
    <t>w tym: inwestycyjne</t>
  </si>
  <si>
    <t>nadwyżka z lat ubiegłych, pomniejszona o niewykorzystane środki pieniężne, o których mowa w art. 217 ust. 2 pkt 8 ustawy o finansach publicznych</t>
  </si>
  <si>
    <t>niewykorzystane środki pieniężne, o których mowa w art. 217 ust. 2 pkt 8 ustawy o finansach publicznych</t>
  </si>
  <si>
    <t>nadwyżka budżetu jednostki samorządu terytorialnego z lat ubiegłych, pomniejszona o środki określone w art. 217 ust. 2 pkt 8 ustawy o finansach publicznych</t>
  </si>
  <si>
    <t>niewykorzystane środki pieniężne na rachunku bieżącym budżetu, wynikające z rozliczenia dochodów i wydatków nimi finansowanych związanych ze szczególnymi zasadami wykonywania budżetu określonymi w odrębnych ustawach oraz wynikających z rozliczenia środków określonych w art. 5 ust. 1 pkt 2 ustawy o finansach publicznych i dotacji na realizację programu, projektu lub zadania finansowanego z udziałem tych środków</t>
  </si>
  <si>
    <t>spłaty udzielonych pożyczek w latach ubiegłych</t>
  </si>
  <si>
    <t>udzielone pożyczki</t>
  </si>
  <si>
    <t>wynagrodzenia i składki od nich naliczane</t>
  </si>
  <si>
    <t>#</t>
  </si>
  <si>
    <r>
      <t xml:space="preserve">Obniżenie górnych stawek podatkowych
</t>
    </r>
    <r>
      <rPr>
        <b/>
        <sz val="10"/>
        <color indexed="8"/>
        <rFont val="Arial"/>
        <family val="2"/>
        <charset val="238"/>
      </rPr>
      <t>R7</t>
    </r>
  </si>
  <si>
    <r>
      <t xml:space="preserve">Ulgi i zwolnienia
</t>
    </r>
    <r>
      <rPr>
        <b/>
        <sz val="10"/>
        <color indexed="8"/>
        <rFont val="Arial"/>
        <family val="2"/>
        <charset val="238"/>
      </rPr>
      <t>R8</t>
    </r>
  </si>
  <si>
    <r>
      <t xml:space="preserve">Umorzenie zaległości podatkowych
</t>
    </r>
    <r>
      <rPr>
        <b/>
        <sz val="10"/>
        <color indexed="8"/>
        <rFont val="Arial"/>
        <family val="2"/>
        <charset val="238"/>
      </rPr>
      <t>R11Z</t>
    </r>
  </si>
  <si>
    <r>
      <t xml:space="preserve">Rozłożenie na raty, odroczenie terminu płatności
</t>
    </r>
    <r>
      <rPr>
        <b/>
        <sz val="10"/>
        <color indexed="8"/>
        <rFont val="Arial"/>
        <family val="2"/>
        <charset val="238"/>
      </rPr>
      <t>R11R</t>
    </r>
  </si>
  <si>
    <r>
      <t xml:space="preserve">Potrącenia 
</t>
    </r>
    <r>
      <rPr>
        <b/>
        <sz val="10"/>
        <color indexed="8"/>
        <rFont val="Arial"/>
        <family val="2"/>
        <charset val="238"/>
      </rPr>
      <t>R3</t>
    </r>
  </si>
  <si>
    <t>Dotacje ogółem 
z tego:</t>
  </si>
  <si>
    <t>Wydatki ogółem UE 
z tego:</t>
  </si>
  <si>
    <t>otrzymane z Funduszu Pomocy lub z innych środków (*)</t>
  </si>
  <si>
    <t>(*) na finansowanie lub dofinansowanie realizacji zadań w zakresie pomocy obywatelom Ukrainy</t>
  </si>
  <si>
    <t>WYDATKI Z UDZIAŁEM ŚRODKÓW, O KTÓRYCH MOWA W ART. 5 UST. 1 pkt 2</t>
  </si>
  <si>
    <t>inne źródła, w tym:</t>
  </si>
  <si>
    <t>środki z lokat dokonanych w latach ubiegłych</t>
  </si>
  <si>
    <t>inne cele, w tym:</t>
  </si>
  <si>
    <t>lokaty na okres wykraczający poza rok budżetowy</t>
  </si>
  <si>
    <t>stan niespłaconych na koniec okresu sprawozdawczego zobowiązań przeznaczonych na cel , o którym mowa w art. 89 ust. 1 pkt 1 ustawy o finansach publicznych</t>
  </si>
  <si>
    <t>spłaty kredytów i  pożyczek, wykup papierów wartościowych 
w tym:</t>
  </si>
  <si>
    <t>FINANSOWANIE DEFICYTU (E1+E2+E3+E4+E5+E6+E7+E8) 
z tego:</t>
  </si>
  <si>
    <t>podatek dochodowy od osób fizycznych</t>
  </si>
  <si>
    <t>podatek dochodowy od osób prawnych</t>
  </si>
  <si>
    <t>Subwencja ogólna, w tym:</t>
  </si>
  <si>
    <t>część rekompensująca</t>
  </si>
  <si>
    <t>środki na uzupełnienie dochodów jednostek samorządu terytorialnego</t>
  </si>
  <si>
    <t>dodatni (nadwyżka)</t>
  </si>
  <si>
    <t>ujemny (deficyt)</t>
  </si>
  <si>
    <t>liczba JST</t>
  </si>
  <si>
    <t>kwota</t>
  </si>
  <si>
    <t>Wynik budżetu</t>
  </si>
  <si>
    <t>Planowany</t>
  </si>
  <si>
    <t>Wykonany</t>
  </si>
  <si>
    <t>Wynik operacyjny (Db-Wb)</t>
  </si>
  <si>
    <t>Dochody bieżące 
minus  wydatki bieżące (Db-Wb)</t>
  </si>
  <si>
    <t>zrównoważony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</si>
</sst>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z_ł_-;\-* #,##0.00\ _z_ł_-;_-* &quot;-&quot;??\ _z_ł_-;_-@_-"/>
    <numFmt numFmtId="165" formatCode="#,##0.0"/>
    <numFmt numFmtId="166" formatCode="dd/mm/yy\ h:mm;@"/>
    <numFmt numFmtId="167" formatCode="#,##0.00_ ;[Red]\-#,##0.00\ "/>
  </numFmts>
  <fonts count="41" x14ac:knownFonts="1">
    <font>
      <sz val="10"/>
      <name val="Arial CE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sz val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9"/>
      <name val="Arial"/>
      <family val="2"/>
      <charset val="238"/>
    </font>
    <font>
      <sz val="9.5"/>
      <name val="Arial"/>
      <family val="2"/>
      <charset val="238"/>
    </font>
    <font>
      <b/>
      <sz val="10"/>
      <name val="Arial"/>
      <family val="2"/>
      <charset val="238"/>
    </font>
    <font>
      <b/>
      <sz val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8"/>
      <name val="Arial CE"/>
      <charset val="238"/>
    </font>
    <font>
      <sz val="10"/>
      <name val="Arial CE"/>
      <charset val="238"/>
    </font>
    <font>
      <sz val="14"/>
      <name val="Arial"/>
      <family val="2"/>
      <charset val="238"/>
    </font>
    <font>
      <b/>
      <sz val="7"/>
      <color indexed="8"/>
      <name val="Arial"/>
      <family val="2"/>
      <charset val="238"/>
    </font>
    <font>
      <sz val="7"/>
      <color indexed="8"/>
      <name val="Arial"/>
      <family val="2"/>
      <charset val="238"/>
    </font>
    <font>
      <sz val="7"/>
      <name val="Arial"/>
      <family val="2"/>
      <charset val="238"/>
    </font>
    <font>
      <b/>
      <sz val="7"/>
      <name val="Arial"/>
      <family val="2"/>
      <charset val="238"/>
    </font>
    <font>
      <b/>
      <sz val="8"/>
      <name val="Arial CE"/>
      <charset val="238"/>
    </font>
    <font>
      <sz val="11"/>
      <color theme="1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sz val="8"/>
      <color rgb="FF242424"/>
      <name val="Arial"/>
      <family val="2"/>
      <charset val="238"/>
    </font>
  </fonts>
  <fills count="23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14"/>
      </patternFill>
    </fill>
    <fill>
      <patternFill patternType="solid">
        <fgColor indexed="42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10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6"/>
      </patternFill>
    </fill>
    <fill>
      <patternFill patternType="solid">
        <fgColor indexed="45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1">
    <xf numFmtId="0" fontId="0" fillId="0" borderId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2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9" borderId="0" applyNumberFormat="0" applyBorder="0" applyAlignment="0" applyProtection="0"/>
    <xf numFmtId="0" fontId="13" fillId="3" borderId="0" applyNumberFormat="0" applyBorder="0" applyAlignment="0" applyProtection="0"/>
    <xf numFmtId="0" fontId="13" fillId="10" borderId="0" applyNumberFormat="0" applyBorder="0" applyAlignment="0" applyProtection="0"/>
    <xf numFmtId="0" fontId="13" fillId="9" borderId="0" applyNumberFormat="0" applyBorder="0" applyAlignment="0" applyProtection="0"/>
    <xf numFmtId="0" fontId="13" fillId="11" borderId="0" applyNumberFormat="0" applyBorder="0" applyAlignment="0" applyProtection="0"/>
    <xf numFmtId="0" fontId="13" fillId="6" borderId="0" applyNumberFormat="0" applyBorder="0" applyAlignment="0" applyProtection="0"/>
    <xf numFmtId="0" fontId="14" fillId="12" borderId="0" applyNumberFormat="0" applyBorder="0" applyAlignment="0" applyProtection="0"/>
    <xf numFmtId="0" fontId="14" fillId="3" borderId="0" applyNumberFormat="0" applyBorder="0" applyAlignment="0" applyProtection="0"/>
    <xf numFmtId="0" fontId="14" fillId="10" borderId="0" applyNumberFormat="0" applyBorder="0" applyAlignment="0" applyProtection="0"/>
    <xf numFmtId="0" fontId="14" fillId="9" borderId="0" applyNumberFormat="0" applyBorder="0" applyAlignment="0" applyProtection="0"/>
    <xf numFmtId="0" fontId="14" fillId="12" borderId="0" applyNumberFormat="0" applyBorder="0" applyAlignment="0" applyProtection="0"/>
    <xf numFmtId="0" fontId="14" fillId="6" borderId="0" applyNumberFormat="0" applyBorder="0" applyAlignment="0" applyProtection="0"/>
    <xf numFmtId="0" fontId="14" fillId="12" borderId="0" applyNumberFormat="0" applyBorder="0" applyAlignment="0" applyProtection="0"/>
    <xf numFmtId="0" fontId="14" fillId="14" borderId="0" applyNumberFormat="0" applyBorder="0" applyAlignment="0" applyProtection="0"/>
    <xf numFmtId="0" fontId="14" fillId="13" borderId="0" applyNumberFormat="0" applyBorder="0" applyAlignment="0" applyProtection="0"/>
    <xf numFmtId="0" fontId="14" fillId="15" borderId="0" applyNumberFormat="0" applyBorder="0" applyAlignment="0" applyProtection="0"/>
    <xf numFmtId="0" fontId="14" fillId="12" borderId="0" applyNumberFormat="0" applyBorder="0" applyAlignment="0" applyProtection="0"/>
    <xf numFmtId="0" fontId="14" fillId="16" borderId="0" applyNumberFormat="0" applyBorder="0" applyAlignment="0" applyProtection="0"/>
    <xf numFmtId="0" fontId="15" fillId="18" borderId="0" applyNumberFormat="0" applyBorder="0" applyAlignment="0" applyProtection="0"/>
    <xf numFmtId="0" fontId="16" fillId="7" borderId="1" applyNumberFormat="0" applyAlignment="0" applyProtection="0"/>
    <xf numFmtId="0" fontId="17" fillId="17" borderId="2" applyNumberFormat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8" borderId="0" applyNumberFormat="0" applyBorder="0" applyAlignment="0" applyProtection="0"/>
    <xf numFmtId="0" fontId="20" fillId="0" borderId="4" applyNumberFormat="0" applyFill="0" applyAlignment="0" applyProtection="0"/>
    <xf numFmtId="0" fontId="21" fillId="0" borderId="5" applyNumberFormat="0" applyFill="0" applyAlignment="0" applyProtection="0"/>
    <xf numFmtId="0" fontId="22" fillId="0" borderId="6" applyNumberFormat="0" applyFill="0" applyAlignment="0" applyProtection="0"/>
    <xf numFmtId="0" fontId="22" fillId="0" borderId="0" applyNumberFormat="0" applyFill="0" applyBorder="0" applyAlignment="0" applyProtection="0"/>
    <xf numFmtId="0" fontId="23" fillId="6" borderId="1" applyNumberFormat="0" applyAlignment="0" applyProtection="0"/>
    <xf numFmtId="0" fontId="24" fillId="0" borderId="7" applyNumberFormat="0" applyFill="0" applyAlignment="0" applyProtection="0"/>
    <xf numFmtId="0" fontId="25" fillId="10" borderId="0" applyNumberFormat="0" applyBorder="0" applyAlignment="0" applyProtection="0"/>
    <xf numFmtId="0" fontId="38" fillId="0" borderId="0"/>
    <xf numFmtId="0" fontId="38" fillId="0" borderId="0"/>
    <xf numFmtId="0" fontId="1" fillId="4" borderId="8" applyNumberFormat="0" applyFont="0" applyAlignment="0" applyProtection="0"/>
    <xf numFmtId="0" fontId="26" fillId="7" borderId="3" applyNumberFormat="0" applyAlignment="0" applyProtection="0"/>
    <xf numFmtId="0" fontId="27" fillId="0" borderId="0" applyNumberFormat="0" applyFill="0" applyBorder="0" applyAlignment="0" applyProtection="0"/>
    <xf numFmtId="0" fontId="28" fillId="0" borderId="9" applyNumberFormat="0" applyFill="0" applyAlignment="0" applyProtection="0"/>
    <xf numFmtId="0" fontId="29" fillId="0" borderId="0" applyNumberFormat="0" applyFill="0" applyBorder="0" applyAlignment="0" applyProtection="0"/>
  </cellStyleXfs>
  <cellXfs count="171">
    <xf numFmtId="0" fontId="0" fillId="0" borderId="0" xfId="0"/>
    <xf numFmtId="0" fontId="2" fillId="0" borderId="0" xfId="0" applyFont="1"/>
    <xf numFmtId="0" fontId="6" fillId="0" borderId="0" xfId="0" applyFont="1" applyFill="1" applyAlignment="1">
      <alignment horizontal="left" vertical="center"/>
    </xf>
    <xf numFmtId="165" fontId="2" fillId="0" borderId="0" xfId="0" applyNumberFormat="1" applyFont="1" applyFill="1"/>
    <xf numFmtId="0" fontId="8" fillId="0" borderId="0" xfId="0" applyFont="1" applyFill="1" applyAlignment="1">
      <alignment vertical="center"/>
    </xf>
    <xf numFmtId="0" fontId="2" fillId="0" borderId="0" xfId="0" applyFont="1" applyFill="1"/>
    <xf numFmtId="0" fontId="5" fillId="0" borderId="0" xfId="0" applyFont="1" applyFill="1" applyBorder="1" applyAlignment="1">
      <alignment horizontal="left" vertical="center"/>
    </xf>
    <xf numFmtId="3" fontId="5" fillId="0" borderId="0" xfId="0" applyNumberFormat="1" applyFont="1" applyFill="1" applyBorder="1" applyAlignment="1">
      <alignment horizontal="left" vertical="center"/>
    </xf>
    <xf numFmtId="3" fontId="5" fillId="0" borderId="0" xfId="0" applyNumberFormat="1" applyFont="1" applyFill="1" applyBorder="1" applyAlignment="1">
      <alignment horizontal="right" vertical="center"/>
    </xf>
    <xf numFmtId="165" fontId="5" fillId="0" borderId="0" xfId="0" applyNumberFormat="1" applyFont="1" applyFill="1" applyBorder="1" applyAlignment="1">
      <alignment horizontal="center" vertical="center"/>
    </xf>
    <xf numFmtId="0" fontId="2" fillId="0" borderId="0" xfId="0" applyFont="1" applyBorder="1"/>
    <xf numFmtId="0" fontId="3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4" fillId="19" borderId="1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/>
    </xf>
    <xf numFmtId="0" fontId="4" fillId="19" borderId="10" xfId="0" applyFont="1" applyFill="1" applyBorder="1" applyAlignment="1">
      <alignment horizontal="center" vertical="center"/>
    </xf>
    <xf numFmtId="0" fontId="6" fillId="19" borderId="10" xfId="0" applyFont="1" applyFill="1" applyBorder="1" applyAlignment="1">
      <alignment horizontal="center" vertical="center" wrapText="1"/>
    </xf>
    <xf numFmtId="0" fontId="6" fillId="19" borderId="10" xfId="0" applyFont="1" applyFill="1" applyBorder="1" applyAlignment="1">
      <alignment horizontal="center" vertical="center"/>
    </xf>
    <xf numFmtId="0" fontId="7" fillId="20" borderId="10" xfId="0" applyFont="1" applyFill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 indent="1"/>
    </xf>
    <xf numFmtId="165" fontId="6" fillId="0" borderId="0" xfId="0" applyNumberFormat="1" applyFont="1" applyAlignment="1">
      <alignment horizontal="right" vertical="center"/>
    </xf>
    <xf numFmtId="165" fontId="6" fillId="0" borderId="0" xfId="0" applyNumberFormat="1" applyFont="1" applyFill="1" applyAlignment="1">
      <alignment horizontal="right" vertical="center"/>
    </xf>
    <xf numFmtId="0" fontId="4" fillId="0" borderId="10" xfId="0" applyFont="1" applyFill="1" applyBorder="1" applyAlignment="1">
      <alignment horizontal="left" vertical="center" wrapText="1" indent="1"/>
    </xf>
    <xf numFmtId="0" fontId="6" fillId="0" borderId="10" xfId="0" applyFont="1" applyBorder="1"/>
    <xf numFmtId="0" fontId="6" fillId="0" borderId="0" xfId="0" applyFont="1"/>
    <xf numFmtId="0" fontId="6" fillId="19" borderId="10" xfId="0" applyNumberFormat="1" applyFont="1" applyFill="1" applyBorder="1" applyAlignment="1">
      <alignment horizontal="center" vertical="center" wrapText="1"/>
    </xf>
    <xf numFmtId="0" fontId="6" fillId="19" borderId="10" xfId="0" applyFont="1" applyFill="1" applyBorder="1" applyAlignment="1">
      <alignment horizontal="center"/>
    </xf>
    <xf numFmtId="0" fontId="10" fillId="19" borderId="10" xfId="0" applyFont="1" applyFill="1" applyBorder="1" applyAlignment="1">
      <alignment horizontal="center" vertical="center" wrapText="1"/>
    </xf>
    <xf numFmtId="0" fontId="6" fillId="19" borderId="12" xfId="0" applyFont="1" applyFill="1" applyBorder="1" applyAlignment="1">
      <alignment horizontal="center"/>
    </xf>
    <xf numFmtId="4" fontId="33" fillId="20" borderId="10" xfId="0" applyNumberFormat="1" applyFont="1" applyFill="1" applyBorder="1" applyAlignment="1">
      <alignment horizontal="right" vertical="center"/>
    </xf>
    <xf numFmtId="165" fontId="33" fillId="20" borderId="10" xfId="0" applyNumberFormat="1" applyFont="1" applyFill="1" applyBorder="1" applyAlignment="1">
      <alignment horizontal="right" vertical="center"/>
    </xf>
    <xf numFmtId="4" fontId="34" fillId="0" borderId="10" xfId="0" applyNumberFormat="1" applyFont="1" applyFill="1" applyBorder="1" applyAlignment="1">
      <alignment horizontal="right" vertical="center"/>
    </xf>
    <xf numFmtId="165" fontId="34" fillId="0" borderId="10" xfId="0" applyNumberFormat="1" applyFont="1" applyFill="1" applyBorder="1" applyAlignment="1">
      <alignment horizontal="right" vertical="center"/>
    </xf>
    <xf numFmtId="165" fontId="34" fillId="20" borderId="10" xfId="0" applyNumberFormat="1" applyFont="1" applyFill="1" applyBorder="1" applyAlignment="1">
      <alignment horizontal="right" vertical="center"/>
    </xf>
    <xf numFmtId="4" fontId="34" fillId="0" borderId="10" xfId="0" applyNumberFormat="1" applyFont="1" applyBorder="1" applyAlignment="1">
      <alignment horizontal="right" vertical="center"/>
    </xf>
    <xf numFmtId="165" fontId="35" fillId="0" borderId="0" xfId="0" applyNumberFormat="1" applyFont="1" applyAlignment="1">
      <alignment horizontal="right" vertical="center"/>
    </xf>
    <xf numFmtId="0" fontId="12" fillId="0" borderId="0" xfId="0" applyFont="1" applyBorder="1" applyAlignment="1">
      <alignment horizontal="left" vertical="center"/>
    </xf>
    <xf numFmtId="4" fontId="33" fillId="20" borderId="10" xfId="0" applyNumberFormat="1" applyFont="1" applyFill="1" applyBorder="1" applyAlignment="1">
      <alignment horizontal="right" vertical="center" wrapText="1"/>
    </xf>
    <xf numFmtId="165" fontId="36" fillId="20" borderId="10" xfId="0" applyNumberFormat="1" applyFont="1" applyFill="1" applyBorder="1" applyAlignment="1">
      <alignment horizontal="right" vertical="center"/>
    </xf>
    <xf numFmtId="0" fontId="35" fillId="0" borderId="0" xfId="0" applyFont="1"/>
    <xf numFmtId="0" fontId="35" fillId="0" borderId="0" xfId="0" applyFont="1" applyBorder="1"/>
    <xf numFmtId="3" fontId="33" fillId="0" borderId="0" xfId="0" applyNumberFormat="1" applyFont="1" applyBorder="1" applyAlignment="1">
      <alignment horizontal="right" vertical="center"/>
    </xf>
    <xf numFmtId="165" fontId="35" fillId="0" borderId="0" xfId="0" applyNumberFormat="1" applyFont="1"/>
    <xf numFmtId="4" fontId="36" fillId="20" borderId="12" xfId="0" applyNumberFormat="1" applyFont="1" applyFill="1" applyBorder="1" applyAlignment="1">
      <alignment horizontal="right" vertical="center"/>
    </xf>
    <xf numFmtId="165" fontId="36" fillId="20" borderId="10" xfId="28" applyNumberFormat="1" applyFont="1" applyFill="1" applyBorder="1" applyAlignment="1">
      <alignment horizontal="right" vertical="center"/>
    </xf>
    <xf numFmtId="4" fontId="35" fillId="0" borderId="12" xfId="0" applyNumberFormat="1" applyFont="1" applyBorder="1" applyAlignment="1">
      <alignment horizontal="right" vertical="center"/>
    </xf>
    <xf numFmtId="165" fontId="36" fillId="21" borderId="10" xfId="28" applyNumberFormat="1" applyFont="1" applyFill="1" applyBorder="1" applyAlignment="1">
      <alignment horizontal="right" vertical="center"/>
    </xf>
    <xf numFmtId="165" fontId="36" fillId="21" borderId="10" xfId="0" applyNumberFormat="1" applyFont="1" applyFill="1" applyBorder="1" applyAlignment="1">
      <alignment horizontal="right" vertical="center"/>
    </xf>
    <xf numFmtId="4" fontId="35" fillId="22" borderId="12" xfId="0" applyNumberFormat="1" applyFont="1" applyFill="1" applyBorder="1" applyAlignment="1">
      <alignment horizontal="right" vertical="center"/>
    </xf>
    <xf numFmtId="165" fontId="36" fillId="22" borderId="10" xfId="0" applyNumberFormat="1" applyFont="1" applyFill="1" applyBorder="1" applyAlignment="1">
      <alignment horizontal="right" vertical="center"/>
    </xf>
    <xf numFmtId="4" fontId="36" fillId="22" borderId="12" xfId="0" applyNumberFormat="1" applyFont="1" applyFill="1" applyBorder="1" applyAlignment="1">
      <alignment horizontal="right" vertical="center"/>
    </xf>
    <xf numFmtId="0" fontId="11" fillId="19" borderId="10" xfId="0" applyFont="1" applyFill="1" applyBorder="1" applyAlignment="1">
      <alignment horizontal="center" vertical="center" wrapText="1"/>
    </xf>
    <xf numFmtId="0" fontId="39" fillId="22" borderId="10" xfId="44" applyFont="1" applyFill="1" applyBorder="1" applyAlignment="1">
      <alignment horizontal="left" vertical="top" wrapText="1"/>
    </xf>
    <xf numFmtId="4" fontId="33" fillId="22" borderId="10" xfId="0" applyNumberFormat="1" applyFont="1" applyFill="1" applyBorder="1" applyAlignment="1">
      <alignment horizontal="right" vertical="center"/>
    </xf>
    <xf numFmtId="165" fontId="33" fillId="22" borderId="10" xfId="0" applyNumberFormat="1" applyFont="1" applyFill="1" applyBorder="1" applyAlignment="1">
      <alignment horizontal="right" vertical="center"/>
    </xf>
    <xf numFmtId="4" fontId="35" fillId="0" borderId="10" xfId="0" applyNumberFormat="1" applyFont="1" applyFill="1" applyBorder="1" applyAlignment="1">
      <alignment horizontal="right" vertical="center"/>
    </xf>
    <xf numFmtId="165" fontId="34" fillId="0" borderId="0" xfId="0" applyNumberFormat="1" applyFont="1" applyFill="1" applyBorder="1" applyAlignment="1">
      <alignment horizontal="right" vertical="center"/>
    </xf>
    <xf numFmtId="4" fontId="34" fillId="22" borderId="10" xfId="0" applyNumberFormat="1" applyFont="1" applyFill="1" applyBorder="1" applyAlignment="1">
      <alignment horizontal="right" vertical="center"/>
    </xf>
    <xf numFmtId="165" fontId="34" fillId="22" borderId="10" xfId="0" applyNumberFormat="1" applyFont="1" applyFill="1" applyBorder="1" applyAlignment="1">
      <alignment horizontal="right" vertical="center"/>
    </xf>
    <xf numFmtId="4" fontId="36" fillId="22" borderId="10" xfId="0" applyNumberFormat="1" applyFont="1" applyFill="1" applyBorder="1" applyAlignment="1">
      <alignment horizontal="right" vertical="center"/>
    </xf>
    <xf numFmtId="4" fontId="34" fillId="0" borderId="10" xfId="0" applyNumberFormat="1" applyFont="1" applyFill="1" applyBorder="1" applyAlignment="1">
      <alignment horizontal="right" vertical="center" wrapText="1"/>
    </xf>
    <xf numFmtId="4" fontId="34" fillId="22" borderId="10" xfId="0" applyNumberFormat="1" applyFont="1" applyFill="1" applyBorder="1" applyAlignment="1">
      <alignment horizontal="right" vertical="center" wrapText="1"/>
    </xf>
    <xf numFmtId="165" fontId="35" fillId="22" borderId="10" xfId="0" applyNumberFormat="1" applyFont="1" applyFill="1" applyBorder="1" applyAlignment="1">
      <alignment horizontal="right" vertical="center"/>
    </xf>
    <xf numFmtId="4" fontId="33" fillId="22" borderId="10" xfId="0" applyNumberFormat="1" applyFont="1" applyFill="1" applyBorder="1" applyAlignment="1">
      <alignment horizontal="right" vertical="center" wrapText="1"/>
    </xf>
    <xf numFmtId="4" fontId="33" fillId="20" borderId="11" xfId="0" applyNumberFormat="1" applyFont="1" applyFill="1" applyBorder="1" applyAlignment="1">
      <alignment horizontal="right" vertical="center" wrapText="1"/>
    </xf>
    <xf numFmtId="4" fontId="35" fillId="0" borderId="12" xfId="0" applyNumberFormat="1" applyFont="1" applyFill="1" applyBorder="1" applyAlignment="1">
      <alignment horizontal="right" vertical="center"/>
    </xf>
    <xf numFmtId="165" fontId="36" fillId="0" borderId="10" xfId="28" applyNumberFormat="1" applyFont="1" applyFill="1" applyBorder="1" applyAlignment="1">
      <alignment horizontal="right" vertical="center"/>
    </xf>
    <xf numFmtId="165" fontId="36" fillId="0" borderId="10" xfId="0" applyNumberFormat="1" applyFont="1" applyFill="1" applyBorder="1" applyAlignment="1">
      <alignment horizontal="right" vertical="center"/>
    </xf>
    <xf numFmtId="4" fontId="34" fillId="21" borderId="10" xfId="0" applyNumberFormat="1" applyFont="1" applyFill="1" applyBorder="1" applyAlignment="1">
      <alignment horizontal="right" vertical="center"/>
    </xf>
    <xf numFmtId="165" fontId="34" fillId="21" borderId="10" xfId="0" applyNumberFormat="1" applyFont="1" applyFill="1" applyBorder="1" applyAlignment="1">
      <alignment horizontal="right" vertical="center"/>
    </xf>
    <xf numFmtId="0" fontId="6" fillId="19" borderId="12" xfId="0" applyFont="1" applyFill="1" applyBorder="1" applyAlignment="1">
      <alignment horizontal="center" vertical="center"/>
    </xf>
    <xf numFmtId="4" fontId="36" fillId="22" borderId="10" xfId="0" applyNumberFormat="1" applyFont="1" applyFill="1" applyBorder="1" applyAlignment="1">
      <alignment horizontal="right" vertical="center"/>
    </xf>
    <xf numFmtId="0" fontId="6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/>
    </xf>
    <xf numFmtId="4" fontId="34" fillId="0" borderId="0" xfId="0" applyNumberFormat="1" applyFont="1" applyFill="1" applyBorder="1" applyAlignment="1">
      <alignment horizontal="right" vertical="center" wrapText="1"/>
    </xf>
    <xf numFmtId="4" fontId="34" fillId="0" borderId="0" xfId="0" applyNumberFormat="1" applyFont="1" applyFill="1" applyBorder="1" applyAlignment="1">
      <alignment horizontal="right" vertical="center"/>
    </xf>
    <xf numFmtId="4" fontId="36" fillId="0" borderId="0" xfId="0" applyNumberFormat="1" applyFont="1" applyFill="1" applyBorder="1" applyAlignment="1">
      <alignment horizontal="right" vertical="center"/>
    </xf>
    <xf numFmtId="4" fontId="33" fillId="0" borderId="0" xfId="0" applyNumberFormat="1" applyFont="1" applyFill="1" applyBorder="1" applyAlignment="1">
      <alignment horizontal="right" vertical="center" wrapText="1"/>
    </xf>
    <xf numFmtId="0" fontId="6" fillId="19" borderId="10" xfId="0" applyFont="1" applyFill="1" applyBorder="1" applyAlignment="1">
      <alignment vertical="center"/>
    </xf>
    <xf numFmtId="4" fontId="36" fillId="22" borderId="10" xfId="0" applyNumberFormat="1" applyFont="1" applyFill="1" applyBorder="1" applyAlignment="1">
      <alignment vertical="center"/>
    </xf>
    <xf numFmtId="4" fontId="33" fillId="22" borderId="10" xfId="0" applyNumberFormat="1" applyFont="1" applyFill="1" applyBorder="1" applyAlignment="1">
      <alignment vertical="center" wrapText="1"/>
    </xf>
    <xf numFmtId="4" fontId="34" fillId="0" borderId="10" xfId="0" applyNumberFormat="1" applyFont="1" applyBorder="1" applyAlignment="1">
      <alignment vertical="center"/>
    </xf>
    <xf numFmtId="4" fontId="34" fillId="0" borderId="10" xfId="0" applyNumberFormat="1" applyFont="1" applyFill="1" applyBorder="1" applyAlignment="1">
      <alignment vertical="center" wrapText="1"/>
    </xf>
    <xf numFmtId="4" fontId="34" fillId="0" borderId="10" xfId="0" applyNumberFormat="1" applyFont="1" applyFill="1" applyBorder="1" applyAlignment="1">
      <alignment vertical="center"/>
    </xf>
    <xf numFmtId="4" fontId="34" fillId="0" borderId="12" xfId="0" applyNumberFormat="1" applyFont="1" applyFill="1" applyBorder="1" applyAlignment="1">
      <alignment vertical="center" wrapText="1"/>
    </xf>
    <xf numFmtId="4" fontId="34" fillId="0" borderId="13" xfId="0" applyNumberFormat="1" applyFont="1" applyBorder="1" applyAlignment="1">
      <alignment horizontal="right" vertical="center"/>
    </xf>
    <xf numFmtId="4" fontId="34" fillId="0" borderId="14" xfId="0" applyNumberFormat="1" applyFont="1" applyBorder="1" applyAlignment="1">
      <alignment vertical="center" wrapText="1"/>
    </xf>
    <xf numFmtId="4" fontId="35" fillId="0" borderId="0" xfId="0" applyNumberFormat="1" applyFont="1" applyFill="1" applyBorder="1" applyAlignment="1">
      <alignment horizontal="right" vertical="center"/>
    </xf>
    <xf numFmtId="0" fontId="33" fillId="0" borderId="0" xfId="0" applyFont="1" applyFill="1" applyBorder="1" applyAlignment="1">
      <alignment horizontal="left" vertical="center"/>
    </xf>
    <xf numFmtId="0" fontId="35" fillId="0" borderId="0" xfId="0" applyFont="1" applyFill="1" applyBorder="1"/>
    <xf numFmtId="4" fontId="33" fillId="0" borderId="15" xfId="0" applyNumberFormat="1" applyFont="1" applyFill="1" applyBorder="1" applyAlignment="1">
      <alignment horizontal="right" vertical="center" wrapText="1"/>
    </xf>
    <xf numFmtId="4" fontId="33" fillId="0" borderId="14" xfId="0" applyNumberFormat="1" applyFont="1" applyFill="1" applyBorder="1" applyAlignment="1">
      <alignment horizontal="right" vertical="center" wrapText="1"/>
    </xf>
    <xf numFmtId="4" fontId="33" fillId="0" borderId="16" xfId="0" applyNumberFormat="1" applyFont="1" applyFill="1" applyBorder="1" applyAlignment="1">
      <alignment horizontal="right" vertical="center" wrapText="1"/>
    </xf>
    <xf numFmtId="4" fontId="35" fillId="0" borderId="16" xfId="0" applyNumberFormat="1" applyFont="1" applyFill="1" applyBorder="1" applyAlignment="1">
      <alignment horizontal="right" vertical="center"/>
    </xf>
    <xf numFmtId="0" fontId="6" fillId="19" borderId="12" xfId="0" applyFont="1" applyFill="1" applyBorder="1" applyAlignment="1">
      <alignment vertical="center"/>
    </xf>
    <xf numFmtId="4" fontId="35" fillId="22" borderId="10" xfId="0" applyNumberFormat="1" applyFont="1" applyFill="1" applyBorder="1" applyAlignment="1">
      <alignment horizontal="right" vertical="center"/>
    </xf>
    <xf numFmtId="4" fontId="33" fillId="22" borderId="10" xfId="0" applyNumberFormat="1" applyFont="1" applyFill="1" applyBorder="1" applyAlignment="1">
      <alignment horizontal="center" vertical="center"/>
    </xf>
    <xf numFmtId="4" fontId="35" fillId="0" borderId="10" xfId="0" applyNumberFormat="1" applyFont="1" applyBorder="1" applyAlignment="1">
      <alignment horizontal="right" vertical="center"/>
    </xf>
    <xf numFmtId="4" fontId="35" fillId="21" borderId="10" xfId="0" applyNumberFormat="1" applyFont="1" applyFill="1" applyBorder="1" applyAlignment="1">
      <alignment horizontal="right" vertical="center"/>
    </xf>
    <xf numFmtId="0" fontId="6" fillId="0" borderId="13" xfId="0" applyFont="1" applyBorder="1"/>
    <xf numFmtId="166" fontId="6" fillId="0" borderId="11" xfId="0" applyNumberFormat="1" applyFont="1" applyBorder="1"/>
    <xf numFmtId="4" fontId="36" fillId="20" borderId="10" xfId="0" applyNumberFormat="1" applyFont="1" applyFill="1" applyBorder="1" applyAlignment="1">
      <alignment horizontal="center" vertical="center"/>
    </xf>
    <xf numFmtId="0" fontId="7" fillId="22" borderId="10" xfId="0" applyFont="1" applyFill="1" applyBorder="1" applyAlignment="1">
      <alignment horizontal="left" vertical="center" wrapText="1"/>
    </xf>
    <xf numFmtId="0" fontId="10" fillId="20" borderId="10" xfId="0" applyFont="1" applyFill="1" applyBorder="1" applyAlignment="1">
      <alignment horizontal="left" vertical="top" wrapText="1"/>
    </xf>
    <xf numFmtId="0" fontId="7" fillId="22" borderId="10" xfId="0" applyFont="1" applyFill="1" applyBorder="1" applyAlignment="1">
      <alignment vertical="center" wrapText="1"/>
    </xf>
    <xf numFmtId="0" fontId="7" fillId="20" borderId="10" xfId="0" applyFont="1" applyFill="1" applyBorder="1" applyAlignment="1">
      <alignment horizontal="left" vertical="center" wrapText="1" indent="1"/>
    </xf>
    <xf numFmtId="0" fontId="7" fillId="22" borderId="10" xfId="0" applyFont="1" applyFill="1" applyBorder="1" applyAlignment="1">
      <alignment horizontal="left" vertical="center" wrapText="1" indent="1"/>
    </xf>
    <xf numFmtId="0" fontId="4" fillId="0" borderId="10" xfId="0" applyFont="1" applyFill="1" applyBorder="1" applyAlignment="1">
      <alignment horizontal="left" vertical="center" wrapText="1" indent="2"/>
    </xf>
    <xf numFmtId="0" fontId="7" fillId="22" borderId="10" xfId="0" applyFont="1" applyFill="1" applyBorder="1" applyAlignment="1">
      <alignment horizontal="left" vertical="center" wrapText="1" indent="2"/>
    </xf>
    <xf numFmtId="0" fontId="4" fillId="0" borderId="10" xfId="0" applyFont="1" applyFill="1" applyBorder="1" applyAlignment="1">
      <alignment horizontal="left" vertical="center" wrapText="1" indent="3"/>
    </xf>
    <xf numFmtId="0" fontId="4" fillId="21" borderId="10" xfId="0" applyFont="1" applyFill="1" applyBorder="1" applyAlignment="1">
      <alignment horizontal="left" vertical="center" wrapText="1" indent="3"/>
    </xf>
    <xf numFmtId="0" fontId="7" fillId="22" borderId="10" xfId="0" applyFont="1" applyFill="1" applyBorder="1" applyAlignment="1">
      <alignment horizontal="left" vertical="center" wrapText="1" indent="3"/>
    </xf>
    <xf numFmtId="0" fontId="4" fillId="0" borderId="10" xfId="0" applyFont="1" applyFill="1" applyBorder="1" applyAlignment="1">
      <alignment horizontal="left" vertical="center" wrapText="1" indent="4"/>
    </xf>
    <xf numFmtId="0" fontId="4" fillId="0" borderId="10" xfId="0" applyFont="1" applyBorder="1" applyAlignment="1">
      <alignment horizontal="left" vertical="center" wrapText="1" indent="4"/>
    </xf>
    <xf numFmtId="0" fontId="7" fillId="0" borderId="10" xfId="0" applyFont="1" applyFill="1" applyBorder="1" applyAlignment="1">
      <alignment horizontal="right" vertical="center" wrapText="1"/>
    </xf>
    <xf numFmtId="0" fontId="32" fillId="0" borderId="0" xfId="0" applyFont="1" applyAlignment="1">
      <alignment vertical="center"/>
    </xf>
    <xf numFmtId="0" fontId="6" fillId="0" borderId="10" xfId="0" applyFont="1" applyFill="1" applyBorder="1" applyAlignment="1">
      <alignment horizontal="left" vertical="center" wrapText="1" indent="1"/>
    </xf>
    <xf numFmtId="0" fontId="6" fillId="0" borderId="10" xfId="0" applyFont="1" applyBorder="1" applyAlignment="1">
      <alignment horizontal="left" vertical="center" wrapText="1" indent="1"/>
    </xf>
    <xf numFmtId="0" fontId="6" fillId="0" borderId="10" xfId="0" applyFont="1" applyFill="1" applyBorder="1" applyAlignment="1">
      <alignment horizontal="left" vertical="center" wrapText="1" indent="2"/>
    </xf>
    <xf numFmtId="0" fontId="6" fillId="0" borderId="10" xfId="44" applyFont="1" applyFill="1" applyBorder="1" applyAlignment="1">
      <alignment horizontal="left" vertical="center" wrapText="1" indent="1"/>
    </xf>
    <xf numFmtId="4" fontId="34" fillId="22" borderId="17" xfId="0" applyNumberFormat="1" applyFont="1" applyFill="1" applyBorder="1" applyAlignment="1">
      <alignment horizontal="right" vertical="center" wrapText="1"/>
    </xf>
    <xf numFmtId="4" fontId="34" fillId="0" borderId="17" xfId="0" applyNumberFormat="1" applyFont="1" applyFill="1" applyBorder="1" applyAlignment="1">
      <alignment horizontal="right" vertical="center" wrapText="1"/>
    </xf>
    <xf numFmtId="0" fontId="7" fillId="22" borderId="10" xfId="0" applyFont="1" applyFill="1" applyBorder="1" applyAlignment="1">
      <alignment horizontal="left" vertical="top" wrapText="1"/>
    </xf>
    <xf numFmtId="0" fontId="10" fillId="0" borderId="10" xfId="0" applyFont="1" applyFill="1" applyBorder="1" applyAlignment="1">
      <alignment horizontal="right"/>
    </xf>
    <xf numFmtId="0" fontId="10" fillId="0" borderId="0" xfId="44" applyFont="1" applyFill="1" applyBorder="1" applyAlignment="1">
      <alignment horizontal="left" vertical="center"/>
    </xf>
    <xf numFmtId="4" fontId="33" fillId="22" borderId="0" xfId="0" applyNumberFormat="1" applyFont="1" applyFill="1" applyBorder="1" applyAlignment="1">
      <alignment horizontal="center" vertical="center"/>
    </xf>
    <xf numFmtId="0" fontId="40" fillId="0" borderId="0" xfId="0" applyFont="1"/>
    <xf numFmtId="0" fontId="39" fillId="0" borderId="10" xfId="45" applyFont="1" applyBorder="1" applyAlignment="1">
      <alignment horizontal="left" vertical="center" wrapText="1" indent="1"/>
    </xf>
    <xf numFmtId="0" fontId="7" fillId="20" borderId="10" xfId="0" applyFont="1" applyFill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/>
    </xf>
    <xf numFmtId="0" fontId="30" fillId="0" borderId="10" xfId="0" applyFont="1" applyBorder="1" applyAlignment="1">
      <alignment horizontal="center" vertical="center" wrapText="1"/>
    </xf>
    <xf numFmtId="3" fontId="30" fillId="0" borderId="10" xfId="0" applyNumberFormat="1" applyFont="1" applyBorder="1" applyAlignment="1">
      <alignment vertical="center" wrapText="1"/>
    </xf>
    <xf numFmtId="0" fontId="30" fillId="0" borderId="10" xfId="0" applyFont="1" applyBorder="1" applyAlignment="1">
      <alignment horizontal="right" vertical="center" wrapText="1"/>
    </xf>
    <xf numFmtId="167" fontId="30" fillId="0" borderId="10" xfId="0" applyNumberFormat="1" applyFont="1" applyBorder="1" applyAlignment="1">
      <alignment vertical="center" wrapText="1"/>
    </xf>
    <xf numFmtId="0" fontId="6" fillId="19" borderId="12" xfId="0" applyFont="1" applyFill="1" applyBorder="1" applyAlignment="1">
      <alignment horizontal="center" vertical="top" wrapText="1"/>
    </xf>
    <xf numFmtId="0" fontId="0" fillId="0" borderId="17" xfId="0" applyBorder="1" applyAlignment="1">
      <alignment horizontal="center" vertical="top" wrapText="1"/>
    </xf>
    <xf numFmtId="0" fontId="6" fillId="19" borderId="10" xfId="0" applyFont="1" applyFill="1" applyBorder="1" applyAlignment="1">
      <alignment horizontal="center" vertical="center" wrapText="1"/>
    </xf>
    <xf numFmtId="0" fontId="6" fillId="19" borderId="10" xfId="0" applyFont="1" applyFill="1" applyBorder="1" applyAlignment="1">
      <alignment horizontal="center" vertical="center"/>
    </xf>
    <xf numFmtId="0" fontId="6" fillId="19" borderId="12" xfId="0" applyFont="1" applyFill="1" applyBorder="1" applyAlignment="1">
      <alignment horizontal="center" vertical="center" wrapText="1"/>
    </xf>
    <xf numFmtId="4" fontId="33" fillId="0" borderId="16" xfId="0" applyNumberFormat="1" applyFont="1" applyFill="1" applyBorder="1" applyAlignment="1">
      <alignment horizontal="right" vertical="center" wrapText="1"/>
    </xf>
    <xf numFmtId="0" fontId="4" fillId="19" borderId="10" xfId="0" applyFont="1" applyFill="1" applyBorder="1" applyAlignment="1">
      <alignment horizontal="center" vertical="center" wrapText="1"/>
    </xf>
    <xf numFmtId="166" fontId="6" fillId="0" borderId="12" xfId="0" applyNumberFormat="1" applyFont="1" applyBorder="1" applyAlignment="1">
      <alignment horizontal="center"/>
    </xf>
    <xf numFmtId="166" fontId="6" fillId="0" borderId="17" xfId="0" applyNumberFormat="1" applyFont="1" applyBorder="1" applyAlignment="1">
      <alignment horizontal="center"/>
    </xf>
    <xf numFmtId="0" fontId="6" fillId="19" borderId="14" xfId="0" applyFont="1" applyFill="1" applyBorder="1" applyAlignment="1">
      <alignment horizontal="center" vertical="center"/>
    </xf>
    <xf numFmtId="0" fontId="6" fillId="19" borderId="16" xfId="0" applyFont="1" applyFill="1" applyBorder="1" applyAlignment="1">
      <alignment horizontal="center" vertical="center"/>
    </xf>
    <xf numFmtId="0" fontId="6" fillId="19" borderId="19" xfId="0" applyFont="1" applyFill="1" applyBorder="1" applyAlignment="1">
      <alignment horizontal="center" vertical="center"/>
    </xf>
    <xf numFmtId="0" fontId="6" fillId="19" borderId="15" xfId="0" applyFont="1" applyFill="1" applyBorder="1" applyAlignment="1">
      <alignment horizontal="center" vertical="center"/>
    </xf>
    <xf numFmtId="0" fontId="6" fillId="19" borderId="0" xfId="0" applyFont="1" applyFill="1" applyBorder="1" applyAlignment="1">
      <alignment horizontal="center" vertical="center"/>
    </xf>
    <xf numFmtId="0" fontId="6" fillId="19" borderId="20" xfId="0" applyFont="1" applyFill="1" applyBorder="1" applyAlignment="1">
      <alignment horizontal="center" vertical="center"/>
    </xf>
    <xf numFmtId="0" fontId="6" fillId="19" borderId="21" xfId="0" applyFont="1" applyFill="1" applyBorder="1" applyAlignment="1">
      <alignment horizontal="center" vertical="center"/>
    </xf>
    <xf numFmtId="0" fontId="6" fillId="19" borderId="22" xfId="0" applyFont="1" applyFill="1" applyBorder="1" applyAlignment="1">
      <alignment horizontal="center" vertical="center"/>
    </xf>
    <xf numFmtId="0" fontId="6" fillId="19" borderId="23" xfId="0" applyFont="1" applyFill="1" applyBorder="1" applyAlignment="1">
      <alignment horizontal="center" vertical="center"/>
    </xf>
    <xf numFmtId="0" fontId="6" fillId="19" borderId="17" xfId="0" applyFont="1" applyFill="1" applyBorder="1" applyAlignment="1">
      <alignment horizontal="center" vertical="center"/>
    </xf>
    <xf numFmtId="0" fontId="6" fillId="19" borderId="17" xfId="0" applyFont="1" applyFill="1" applyBorder="1" applyAlignment="1">
      <alignment horizontal="center" vertical="center" wrapText="1"/>
    </xf>
    <xf numFmtId="0" fontId="7" fillId="19" borderId="10" xfId="0" applyFont="1" applyFill="1" applyBorder="1" applyAlignment="1">
      <alignment horizontal="center" vertical="center"/>
    </xf>
    <xf numFmtId="0" fontId="6" fillId="19" borderId="13" xfId="0" applyFont="1" applyFill="1" applyBorder="1" applyAlignment="1">
      <alignment horizontal="center" vertical="center" wrapText="1"/>
    </xf>
    <xf numFmtId="0" fontId="6" fillId="19" borderId="24" xfId="0" applyFont="1" applyFill="1" applyBorder="1" applyAlignment="1">
      <alignment horizontal="center" vertical="center" wrapText="1"/>
    </xf>
    <xf numFmtId="0" fontId="6" fillId="19" borderId="11" xfId="0" applyFont="1" applyFill="1" applyBorder="1" applyAlignment="1">
      <alignment horizontal="center" vertical="center" wrapText="1"/>
    </xf>
    <xf numFmtId="0" fontId="4" fillId="19" borderId="12" xfId="0" applyFont="1" applyFill="1" applyBorder="1" applyAlignment="1">
      <alignment horizontal="center" vertical="center"/>
    </xf>
    <xf numFmtId="0" fontId="4" fillId="19" borderId="18" xfId="0" applyFont="1" applyFill="1" applyBorder="1" applyAlignment="1">
      <alignment horizontal="center" vertical="center"/>
    </xf>
    <xf numFmtId="0" fontId="4" fillId="19" borderId="17" xfId="0" applyFont="1" applyFill="1" applyBorder="1" applyAlignment="1">
      <alignment horizontal="center" vertical="center"/>
    </xf>
    <xf numFmtId="0" fontId="4" fillId="19" borderId="10" xfId="0" applyFont="1" applyFill="1" applyBorder="1" applyAlignment="1">
      <alignment horizontal="center" vertical="center"/>
    </xf>
    <xf numFmtId="0" fontId="4" fillId="19" borderId="14" xfId="0" applyFont="1" applyFill="1" applyBorder="1" applyAlignment="1">
      <alignment horizontal="center" vertical="center"/>
    </xf>
    <xf numFmtId="0" fontId="4" fillId="19" borderId="16" xfId="0" applyFont="1" applyFill="1" applyBorder="1" applyAlignment="1">
      <alignment horizontal="center" vertical="center"/>
    </xf>
    <xf numFmtId="0" fontId="4" fillId="19" borderId="19" xfId="0" applyFont="1" applyFill="1" applyBorder="1" applyAlignment="1">
      <alignment horizontal="center" vertical="center"/>
    </xf>
    <xf numFmtId="0" fontId="4" fillId="19" borderId="21" xfId="0" applyFont="1" applyFill="1" applyBorder="1" applyAlignment="1">
      <alignment horizontal="center" vertical="center"/>
    </xf>
    <xf numFmtId="0" fontId="4" fillId="19" borderId="22" xfId="0" applyFont="1" applyFill="1" applyBorder="1" applyAlignment="1">
      <alignment horizontal="center" vertical="center"/>
    </xf>
    <xf numFmtId="0" fontId="4" fillId="19" borderId="23" xfId="0" applyFont="1" applyFill="1" applyBorder="1" applyAlignment="1">
      <alignment horizontal="center" vertical="center"/>
    </xf>
    <xf numFmtId="0" fontId="7" fillId="22" borderId="10" xfId="0" applyFont="1" applyFill="1" applyBorder="1" applyAlignment="1">
      <alignment horizontal="left" vertical="center" wrapText="1"/>
    </xf>
    <xf numFmtId="0" fontId="37" fillId="0" borderId="10" xfId="0" applyFont="1" applyBorder="1" applyAlignment="1">
      <alignment horizontal="center" vertical="center" wrapText="1"/>
    </xf>
  </cellXfs>
  <cellStyles count="51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40% - Accent1" xfId="7" xr:uid="{00000000-0005-0000-0000-000006000000}"/>
    <cellStyle name="40% - Accent2" xfId="8" xr:uid="{00000000-0005-0000-0000-000007000000}"/>
    <cellStyle name="40% - Accent3" xfId="9" xr:uid="{00000000-0005-0000-0000-000008000000}"/>
    <cellStyle name="40% - Accent4" xfId="10" xr:uid="{00000000-0005-0000-0000-000009000000}"/>
    <cellStyle name="40% - Accent5" xfId="11" xr:uid="{00000000-0005-0000-0000-00000A000000}"/>
    <cellStyle name="40% - Accent6" xfId="12" xr:uid="{00000000-0005-0000-0000-00000B000000}"/>
    <cellStyle name="60% - Accent1" xfId="13" xr:uid="{00000000-0005-0000-0000-00000C000000}"/>
    <cellStyle name="60% - Accent2" xfId="14" xr:uid="{00000000-0005-0000-0000-00000D000000}"/>
    <cellStyle name="60% - Accent3" xfId="15" xr:uid="{00000000-0005-0000-0000-00000E000000}"/>
    <cellStyle name="60% - Accent4" xfId="16" xr:uid="{00000000-0005-0000-0000-00000F000000}"/>
    <cellStyle name="60% - Accent5" xfId="17" xr:uid="{00000000-0005-0000-0000-000010000000}"/>
    <cellStyle name="60% - Accent6" xfId="18" xr:uid="{00000000-0005-0000-0000-000011000000}"/>
    <cellStyle name="Accent1" xfId="19" xr:uid="{00000000-0005-0000-0000-000012000000}"/>
    <cellStyle name="Accent2" xfId="20" xr:uid="{00000000-0005-0000-0000-000013000000}"/>
    <cellStyle name="Accent3" xfId="21" xr:uid="{00000000-0005-0000-0000-000014000000}"/>
    <cellStyle name="Accent4" xfId="22" xr:uid="{00000000-0005-0000-0000-000015000000}"/>
    <cellStyle name="Accent5" xfId="23" xr:uid="{00000000-0005-0000-0000-000016000000}"/>
    <cellStyle name="Accent6" xfId="24" xr:uid="{00000000-0005-0000-0000-000017000000}"/>
    <cellStyle name="Bad" xfId="25" xr:uid="{00000000-0005-0000-0000-000018000000}"/>
    <cellStyle name="Calculation" xfId="26" xr:uid="{00000000-0005-0000-0000-000019000000}"/>
    <cellStyle name="Check Cell" xfId="27" xr:uid="{00000000-0005-0000-0000-00001A000000}"/>
    <cellStyle name="Dziesiętny 2" xfId="28" xr:uid="{00000000-0005-0000-0000-00001B000000}"/>
    <cellStyle name="Dziesiętny 3" xfId="29" xr:uid="{00000000-0005-0000-0000-00001C000000}"/>
    <cellStyle name="Dziesiętny 3 2" xfId="30" xr:uid="{00000000-0005-0000-0000-00001D000000}"/>
    <cellStyle name="Dziesiętny 3 3" xfId="31" xr:uid="{00000000-0005-0000-0000-00001E000000}"/>
    <cellStyle name="Dziesiętny 3 4" xfId="32" xr:uid="{00000000-0005-0000-0000-00001F000000}"/>
    <cellStyle name="Dziesiętny 4" xfId="33" xr:uid="{00000000-0005-0000-0000-000020000000}"/>
    <cellStyle name="Dziesiętny 5" xfId="34" xr:uid="{00000000-0005-0000-0000-000021000000}"/>
    <cellStyle name="Explanatory Text" xfId="35" xr:uid="{00000000-0005-0000-0000-000022000000}"/>
    <cellStyle name="Good" xfId="36" xr:uid="{00000000-0005-0000-0000-000023000000}"/>
    <cellStyle name="Heading 1" xfId="37" xr:uid="{00000000-0005-0000-0000-000024000000}"/>
    <cellStyle name="Heading 2" xfId="38" xr:uid="{00000000-0005-0000-0000-000025000000}"/>
    <cellStyle name="Heading 3" xfId="39" xr:uid="{00000000-0005-0000-0000-000026000000}"/>
    <cellStyle name="Heading 4" xfId="40" xr:uid="{00000000-0005-0000-0000-000027000000}"/>
    <cellStyle name="Input" xfId="41" xr:uid="{00000000-0005-0000-0000-000028000000}"/>
    <cellStyle name="Linked Cell" xfId="42" xr:uid="{00000000-0005-0000-0000-000029000000}"/>
    <cellStyle name="Neutral" xfId="43" xr:uid="{00000000-0005-0000-0000-00002A000000}"/>
    <cellStyle name="Normalny" xfId="0" builtinId="0"/>
    <cellStyle name="Normalny 2" xfId="44" xr:uid="{00000000-0005-0000-0000-00002C000000}"/>
    <cellStyle name="Normalny 2 2" xfId="45" xr:uid="{00000000-0005-0000-0000-00002D000000}"/>
    <cellStyle name="Note" xfId="46" xr:uid="{00000000-0005-0000-0000-00002E000000}"/>
    <cellStyle name="Output" xfId="47" xr:uid="{00000000-0005-0000-0000-00002F000000}"/>
    <cellStyle name="Title" xfId="48" xr:uid="{00000000-0005-0000-0000-000030000000}"/>
    <cellStyle name="Total" xfId="49" xr:uid="{00000000-0005-0000-0000-000031000000}"/>
    <cellStyle name="Warning Text" xfId="50" xr:uid="{00000000-0005-0000-0000-000032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5F5F5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CDCD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outlinePr summaryBelow="0"/>
  </sheetPr>
  <dimension ref="A1:Z117"/>
  <sheetViews>
    <sheetView tabSelected="1" topLeftCell="B1" zoomScaleNormal="100" workbookViewId="0">
      <selection activeCell="B1" sqref="B1"/>
    </sheetView>
  </sheetViews>
  <sheetFormatPr defaultRowHeight="12.75" outlineLevelRow="1" outlineLevelCol="1" x14ac:dyDescent="0.2"/>
  <cols>
    <col min="1" max="1" width="5.7109375" style="1" hidden="1" customWidth="1"/>
    <col min="2" max="2" width="30.7109375" style="1" customWidth="1"/>
    <col min="3" max="3" width="14.7109375" style="1" customWidth="1"/>
    <col min="4" max="4" width="15.7109375" style="1" customWidth="1"/>
    <col min="5" max="5" width="14.7109375" style="1" customWidth="1" outlineLevel="1"/>
    <col min="6" max="6" width="15.7109375" style="1" customWidth="1" outlineLevel="1"/>
    <col min="7" max="9" width="14.7109375" style="1" customWidth="1" outlineLevel="1"/>
    <col min="10" max="10" width="7.7109375" style="1" bestFit="1" customWidth="1"/>
    <col min="11" max="11" width="7.5703125" style="1" bestFit="1" customWidth="1"/>
    <col min="12" max="12" width="8.42578125" style="1" bestFit="1" customWidth="1"/>
    <col min="13" max="13" width="9.85546875" style="1" customWidth="1"/>
    <col min="14" max="16384" width="9.140625" style="1"/>
  </cols>
  <sheetData>
    <row r="1" spans="2:13" ht="20.100000000000001" customHeight="1" x14ac:dyDescent="0.2">
      <c r="B1" s="116" t="str">
        <f>CONCATENATE("Informacja z wykonania budżetów powiatów za ",$D$114," ",$C$115," rok     ",$C$117,"")</f>
        <v xml:space="preserve">Informacja z wykonania budżetów powiatów za I Kwartał 2025 rok     </v>
      </c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</row>
    <row r="2" spans="2:13" ht="57.75" customHeight="1" x14ac:dyDescent="0.2">
      <c r="B2" s="155" t="s">
        <v>0</v>
      </c>
      <c r="C2" s="14" t="s">
        <v>24</v>
      </c>
      <c r="D2" s="14" t="s">
        <v>25</v>
      </c>
      <c r="E2" s="14" t="s">
        <v>79</v>
      </c>
      <c r="F2" s="14" t="s">
        <v>80</v>
      </c>
      <c r="G2" s="14" t="s">
        <v>81</v>
      </c>
      <c r="H2" s="14" t="s">
        <v>82</v>
      </c>
      <c r="I2" s="14" t="s">
        <v>83</v>
      </c>
      <c r="J2" s="16" t="s">
        <v>2</v>
      </c>
      <c r="K2" s="14" t="s">
        <v>18</v>
      </c>
      <c r="L2" s="14" t="s">
        <v>3</v>
      </c>
    </row>
    <row r="3" spans="2:13" x14ac:dyDescent="0.2">
      <c r="B3" s="155"/>
      <c r="C3" s="159" t="s">
        <v>52</v>
      </c>
      <c r="D3" s="161"/>
      <c r="E3" s="163" t="s">
        <v>78</v>
      </c>
      <c r="F3" s="164"/>
      <c r="G3" s="164"/>
      <c r="H3" s="164"/>
      <c r="I3" s="165"/>
      <c r="J3" s="159" t="s">
        <v>4</v>
      </c>
      <c r="K3" s="160"/>
      <c r="L3" s="161"/>
    </row>
    <row r="4" spans="2:13" ht="9" customHeight="1" x14ac:dyDescent="0.2">
      <c r="B4" s="16">
        <v>1</v>
      </c>
      <c r="C4" s="18">
        <v>2</v>
      </c>
      <c r="D4" s="18">
        <v>3</v>
      </c>
      <c r="E4" s="166"/>
      <c r="F4" s="167"/>
      <c r="G4" s="167"/>
      <c r="H4" s="167"/>
      <c r="I4" s="168"/>
      <c r="J4" s="18">
        <v>4</v>
      </c>
      <c r="K4" s="18">
        <v>5</v>
      </c>
      <c r="L4" s="18">
        <v>6</v>
      </c>
    </row>
    <row r="5" spans="2:13" ht="12.95" customHeight="1" x14ac:dyDescent="0.2">
      <c r="B5" s="105" t="s">
        <v>5</v>
      </c>
      <c r="C5" s="54">
        <f>58070903876.08</f>
        <v>58070903876.080002</v>
      </c>
      <c r="D5" s="54">
        <f>18281004934.3</f>
        <v>18281004934.299999</v>
      </c>
      <c r="E5" s="97" t="s">
        <v>78</v>
      </c>
      <c r="F5" s="97" t="s">
        <v>78</v>
      </c>
      <c r="G5" s="97" t="s">
        <v>78</v>
      </c>
      <c r="H5" s="97" t="s">
        <v>78</v>
      </c>
      <c r="I5" s="97" t="s">
        <v>78</v>
      </c>
      <c r="J5" s="55">
        <f t="shared" ref="J5:J38" si="0">IF($D$5=0,"",100*$D5/$D$5)</f>
        <v>100</v>
      </c>
      <c r="K5" s="55">
        <f t="shared" ref="K5:K41" si="1">IF(C5=0,"",100*D5/C5)</f>
        <v>31.480489735979695</v>
      </c>
      <c r="L5" s="55"/>
    </row>
    <row r="6" spans="2:13" ht="26.85" customHeight="1" x14ac:dyDescent="0.2">
      <c r="B6" s="106" t="s">
        <v>35</v>
      </c>
      <c r="C6" s="30">
        <f>C5-C11-C35</f>
        <v>33796665257.930008</v>
      </c>
      <c r="D6" s="30">
        <f>D5-D11-D35</f>
        <v>11354419903.419998</v>
      </c>
      <c r="E6" s="97" t="s">
        <v>78</v>
      </c>
      <c r="F6" s="97" t="s">
        <v>78</v>
      </c>
      <c r="G6" s="97" t="s">
        <v>78</v>
      </c>
      <c r="H6" s="97" t="s">
        <v>78</v>
      </c>
      <c r="I6" s="97" t="s">
        <v>78</v>
      </c>
      <c r="J6" s="31">
        <f t="shared" si="0"/>
        <v>62.11047994476553</v>
      </c>
      <c r="K6" s="31">
        <f t="shared" si="1"/>
        <v>33.59627293629454</v>
      </c>
      <c r="L6" s="31">
        <f>IF($D$6=0,"",100*$D6/$D$6)</f>
        <v>100</v>
      </c>
    </row>
    <row r="7" spans="2:13" ht="22.5" outlineLevel="1" x14ac:dyDescent="0.2">
      <c r="B7" s="108" t="s">
        <v>96</v>
      </c>
      <c r="C7" s="32">
        <f>21455762546</f>
        <v>21455762546</v>
      </c>
      <c r="D7" s="32">
        <f>8254432430</f>
        <v>8254432430</v>
      </c>
      <c r="E7" s="97" t="s">
        <v>78</v>
      </c>
      <c r="F7" s="97" t="s">
        <v>78</v>
      </c>
      <c r="G7" s="97" t="s">
        <v>78</v>
      </c>
      <c r="H7" s="97" t="s">
        <v>78</v>
      </c>
      <c r="I7" s="97" t="s">
        <v>78</v>
      </c>
      <c r="J7" s="33">
        <f t="shared" si="0"/>
        <v>45.153056189556089</v>
      </c>
      <c r="K7" s="33">
        <f t="shared" si="1"/>
        <v>38.47186699751613</v>
      </c>
      <c r="L7" s="33">
        <f>IF($D$6=0,"",100*$D7/$D$6)</f>
        <v>72.697966960986975</v>
      </c>
    </row>
    <row r="8" spans="2:13" ht="22.5" outlineLevel="1" x14ac:dyDescent="0.2">
      <c r="B8" s="108" t="s">
        <v>97</v>
      </c>
      <c r="C8" s="32">
        <f>3463770103.79</f>
        <v>3463770103.79</v>
      </c>
      <c r="D8" s="32">
        <f>866248197</f>
        <v>866248197</v>
      </c>
      <c r="E8" s="97" t="s">
        <v>78</v>
      </c>
      <c r="F8" s="97" t="s">
        <v>78</v>
      </c>
      <c r="G8" s="97" t="s">
        <v>78</v>
      </c>
      <c r="H8" s="97" t="s">
        <v>78</v>
      </c>
      <c r="I8" s="97" t="s">
        <v>78</v>
      </c>
      <c r="J8" s="33">
        <f t="shared" si="0"/>
        <v>4.7385151971305985</v>
      </c>
      <c r="K8" s="33">
        <f t="shared" si="1"/>
        <v>25.008824807748226</v>
      </c>
      <c r="L8" s="33">
        <f>IF($D$6=0,"",100*$D8/$D$6)</f>
        <v>7.6291717619064139</v>
      </c>
    </row>
    <row r="9" spans="2:13" ht="12.95" customHeight="1" outlineLevel="1" x14ac:dyDescent="0.2">
      <c r="B9" s="108" t="s">
        <v>19</v>
      </c>
      <c r="C9" s="32">
        <f>420248938.39</f>
        <v>420248938.38999999</v>
      </c>
      <c r="D9" s="56">
        <f>83039801.81</f>
        <v>83039801.810000002</v>
      </c>
      <c r="E9" s="97" t="s">
        <v>78</v>
      </c>
      <c r="F9" s="97" t="s">
        <v>78</v>
      </c>
      <c r="G9" s="97" t="s">
        <v>78</v>
      </c>
      <c r="H9" s="97" t="s">
        <v>78</v>
      </c>
      <c r="I9" s="97" t="s">
        <v>78</v>
      </c>
      <c r="J9" s="33">
        <f t="shared" si="0"/>
        <v>0.45424090255670452</v>
      </c>
      <c r="K9" s="33">
        <f t="shared" si="1"/>
        <v>19.7596696206136</v>
      </c>
      <c r="L9" s="33">
        <f>IF($D$6=0,"",100*$D9/$D$6)</f>
        <v>0.73134341090369637</v>
      </c>
    </row>
    <row r="10" spans="2:13" ht="12.95" customHeight="1" outlineLevel="1" x14ac:dyDescent="0.2">
      <c r="B10" s="108" t="s">
        <v>20</v>
      </c>
      <c r="C10" s="32">
        <f>C6-C8-C7-C9</f>
        <v>8456883669.7500067</v>
      </c>
      <c r="D10" s="32">
        <f>D6-D8-D7-D9</f>
        <v>2150699474.6099982</v>
      </c>
      <c r="E10" s="97" t="s">
        <v>78</v>
      </c>
      <c r="F10" s="97" t="s">
        <v>78</v>
      </c>
      <c r="G10" s="97" t="s">
        <v>78</v>
      </c>
      <c r="H10" s="97" t="s">
        <v>78</v>
      </c>
      <c r="I10" s="97" t="s">
        <v>78</v>
      </c>
      <c r="J10" s="33">
        <f t="shared" si="0"/>
        <v>11.764667655522139</v>
      </c>
      <c r="K10" s="33">
        <f t="shared" si="1"/>
        <v>25.431347510466285</v>
      </c>
      <c r="L10" s="33">
        <f>IF($D$6=0,"",100*$D10/$D$6)</f>
        <v>18.941517866202911</v>
      </c>
    </row>
    <row r="11" spans="2:13" ht="26.85" customHeight="1" x14ac:dyDescent="0.2">
      <c r="B11" s="107" t="s">
        <v>84</v>
      </c>
      <c r="C11" s="54">
        <f>C12+C31+C33</f>
        <v>13689670088.48</v>
      </c>
      <c r="D11" s="54">
        <f>D12+D31+D33</f>
        <v>2905573890.6300001</v>
      </c>
      <c r="E11" s="97" t="s">
        <v>78</v>
      </c>
      <c r="F11" s="97" t="s">
        <v>78</v>
      </c>
      <c r="G11" s="97" t="s">
        <v>78</v>
      </c>
      <c r="H11" s="97" t="s">
        <v>78</v>
      </c>
      <c r="I11" s="97" t="s">
        <v>78</v>
      </c>
      <c r="J11" s="55">
        <f t="shared" si="0"/>
        <v>15.893950584622266</v>
      </c>
      <c r="K11" s="55">
        <f t="shared" si="1"/>
        <v>21.224572044837448</v>
      </c>
      <c r="L11" s="57"/>
    </row>
    <row r="12" spans="2:13" ht="26.85" customHeight="1" outlineLevel="1" x14ac:dyDescent="0.2">
      <c r="B12" s="109" t="s">
        <v>36</v>
      </c>
      <c r="C12" s="54">
        <f>C13+C15+C17+C19+C21+C23+C25+C27+C29</f>
        <v>11284127519.639999</v>
      </c>
      <c r="D12" s="54">
        <f>D13+D15+D17+D19+D21+D23+D25+D27+D29</f>
        <v>2596100318.04</v>
      </c>
      <c r="E12" s="97" t="s">
        <v>78</v>
      </c>
      <c r="F12" s="97" t="s">
        <v>78</v>
      </c>
      <c r="G12" s="97" t="s">
        <v>78</v>
      </c>
      <c r="H12" s="97" t="s">
        <v>78</v>
      </c>
      <c r="I12" s="97" t="s">
        <v>78</v>
      </c>
      <c r="J12" s="55">
        <f t="shared" si="0"/>
        <v>14.201080998392102</v>
      </c>
      <c r="K12" s="55">
        <f t="shared" si="1"/>
        <v>23.006655264410057</v>
      </c>
      <c r="L12" s="36"/>
    </row>
    <row r="13" spans="2:13" ht="22.5" outlineLevel="1" x14ac:dyDescent="0.2">
      <c r="B13" s="110" t="s">
        <v>9</v>
      </c>
      <c r="C13" s="32">
        <f>3887522109.46</f>
        <v>3887522109.46</v>
      </c>
      <c r="D13" s="32">
        <f>1341498988.72</f>
        <v>1341498988.72</v>
      </c>
      <c r="E13" s="97" t="s">
        <v>78</v>
      </c>
      <c r="F13" s="97" t="s">
        <v>78</v>
      </c>
      <c r="G13" s="97" t="s">
        <v>78</v>
      </c>
      <c r="H13" s="97" t="s">
        <v>78</v>
      </c>
      <c r="I13" s="97" t="s">
        <v>78</v>
      </c>
      <c r="J13" s="33">
        <f t="shared" si="0"/>
        <v>7.3382124972954479</v>
      </c>
      <c r="K13" s="33">
        <f t="shared" si="1"/>
        <v>34.50781631455061</v>
      </c>
      <c r="L13" s="36"/>
    </row>
    <row r="14" spans="2:13" ht="12.95" customHeight="1" outlineLevel="1" x14ac:dyDescent="0.2">
      <c r="B14" s="113" t="s">
        <v>6</v>
      </c>
      <c r="C14" s="32">
        <f>173126956.23</f>
        <v>173126956.22999999</v>
      </c>
      <c r="D14" s="32">
        <f>19742593</f>
        <v>19742593</v>
      </c>
      <c r="E14" s="97" t="s">
        <v>78</v>
      </c>
      <c r="F14" s="97" t="s">
        <v>78</v>
      </c>
      <c r="G14" s="97" t="s">
        <v>78</v>
      </c>
      <c r="H14" s="97" t="s">
        <v>78</v>
      </c>
      <c r="I14" s="97" t="s">
        <v>78</v>
      </c>
      <c r="J14" s="33">
        <f t="shared" si="0"/>
        <v>0.10799511881842816</v>
      </c>
      <c r="K14" s="33">
        <f t="shared" si="1"/>
        <v>11.403534972203792</v>
      </c>
      <c r="L14" s="36"/>
    </row>
    <row r="15" spans="2:13" ht="12.95" customHeight="1" outlineLevel="1" x14ac:dyDescent="0.2">
      <c r="B15" s="110" t="s">
        <v>7</v>
      </c>
      <c r="C15" s="32">
        <f>1779651283.16</f>
        <v>1779651283.1600001</v>
      </c>
      <c r="D15" s="32">
        <f>334428849.04</f>
        <v>334428849.04000002</v>
      </c>
      <c r="E15" s="97" t="s">
        <v>78</v>
      </c>
      <c r="F15" s="97" t="s">
        <v>78</v>
      </c>
      <c r="G15" s="97" t="s">
        <v>78</v>
      </c>
      <c r="H15" s="97" t="s">
        <v>78</v>
      </c>
      <c r="I15" s="97" t="s">
        <v>78</v>
      </c>
      <c r="J15" s="33">
        <f t="shared" si="0"/>
        <v>1.8293789112901724</v>
      </c>
      <c r="K15" s="33">
        <f t="shared" si="1"/>
        <v>18.791819060539687</v>
      </c>
      <c r="L15" s="36"/>
    </row>
    <row r="16" spans="2:13" ht="12.95" customHeight="1" outlineLevel="1" x14ac:dyDescent="0.2">
      <c r="B16" s="113" t="s">
        <v>6</v>
      </c>
      <c r="C16" s="32">
        <f>265302117.2</f>
        <v>265302117.19999999</v>
      </c>
      <c r="D16" s="32">
        <f>9693325.29</f>
        <v>9693325.2899999991</v>
      </c>
      <c r="E16" s="97" t="s">
        <v>78</v>
      </c>
      <c r="F16" s="97" t="s">
        <v>78</v>
      </c>
      <c r="G16" s="97" t="s">
        <v>78</v>
      </c>
      <c r="H16" s="97" t="s">
        <v>78</v>
      </c>
      <c r="I16" s="97" t="s">
        <v>78</v>
      </c>
      <c r="J16" s="33">
        <f t="shared" si="0"/>
        <v>5.3024028628824216E-2</v>
      </c>
      <c r="K16" s="33">
        <f t="shared" si="1"/>
        <v>3.6536931526605998</v>
      </c>
      <c r="L16" s="36"/>
    </row>
    <row r="17" spans="2:12" ht="33.75" outlineLevel="1" x14ac:dyDescent="0.2">
      <c r="B17" s="110" t="s">
        <v>10</v>
      </c>
      <c r="C17" s="32">
        <f>92555329.91</f>
        <v>92555329.909999996</v>
      </c>
      <c r="D17" s="32">
        <f>16991908.06</f>
        <v>16991908.059999999</v>
      </c>
      <c r="E17" s="97" t="s">
        <v>78</v>
      </c>
      <c r="F17" s="97" t="s">
        <v>78</v>
      </c>
      <c r="G17" s="97" t="s">
        <v>78</v>
      </c>
      <c r="H17" s="97" t="s">
        <v>78</v>
      </c>
      <c r="I17" s="97" t="s">
        <v>78</v>
      </c>
      <c r="J17" s="33">
        <f t="shared" si="0"/>
        <v>9.2948435389997003E-2</v>
      </c>
      <c r="K17" s="33">
        <f t="shared" si="1"/>
        <v>18.358648903874883</v>
      </c>
      <c r="L17" s="36"/>
    </row>
    <row r="18" spans="2:12" ht="12.95" customHeight="1" outlineLevel="1" x14ac:dyDescent="0.2">
      <c r="B18" s="113" t="s">
        <v>6</v>
      </c>
      <c r="C18" s="32">
        <f>4460000</f>
        <v>4460000</v>
      </c>
      <c r="D18" s="32">
        <f>0</f>
        <v>0</v>
      </c>
      <c r="E18" s="97" t="s">
        <v>78</v>
      </c>
      <c r="F18" s="97" t="s">
        <v>78</v>
      </c>
      <c r="G18" s="97" t="s">
        <v>78</v>
      </c>
      <c r="H18" s="97" t="s">
        <v>78</v>
      </c>
      <c r="I18" s="97" t="s">
        <v>78</v>
      </c>
      <c r="J18" s="33">
        <f t="shared" si="0"/>
        <v>0</v>
      </c>
      <c r="K18" s="33">
        <f t="shared" si="1"/>
        <v>0</v>
      </c>
      <c r="L18" s="36"/>
    </row>
    <row r="19" spans="2:12" ht="25.5" customHeight="1" outlineLevel="1" x14ac:dyDescent="0.2">
      <c r="B19" s="110" t="s">
        <v>11</v>
      </c>
      <c r="C19" s="32">
        <f>500634789.3</f>
        <v>500634789.30000001</v>
      </c>
      <c r="D19" s="32">
        <f>108846676.28</f>
        <v>108846676.28</v>
      </c>
      <c r="E19" s="97" t="s">
        <v>78</v>
      </c>
      <c r="F19" s="97" t="s">
        <v>78</v>
      </c>
      <c r="G19" s="97" t="s">
        <v>78</v>
      </c>
      <c r="H19" s="97" t="s">
        <v>78</v>
      </c>
      <c r="I19" s="97" t="s">
        <v>78</v>
      </c>
      <c r="J19" s="33">
        <f t="shared" si="0"/>
        <v>0.59540860401921802</v>
      </c>
      <c r="K19" s="33">
        <f t="shared" si="1"/>
        <v>21.74173241779544</v>
      </c>
      <c r="L19" s="36"/>
    </row>
    <row r="20" spans="2:12" ht="12.95" customHeight="1" outlineLevel="1" x14ac:dyDescent="0.2">
      <c r="B20" s="113" t="s">
        <v>6</v>
      </c>
      <c r="C20" s="32">
        <f>94776442.81</f>
        <v>94776442.810000002</v>
      </c>
      <c r="D20" s="32">
        <f>6002904.29</f>
        <v>6002904.29</v>
      </c>
      <c r="E20" s="97" t="s">
        <v>78</v>
      </c>
      <c r="F20" s="97" t="s">
        <v>78</v>
      </c>
      <c r="G20" s="97" t="s">
        <v>78</v>
      </c>
      <c r="H20" s="97" t="s">
        <v>78</v>
      </c>
      <c r="I20" s="97" t="s">
        <v>78</v>
      </c>
      <c r="J20" s="33">
        <f t="shared" si="0"/>
        <v>3.2836839722836922E-2</v>
      </c>
      <c r="K20" s="33">
        <f t="shared" si="1"/>
        <v>6.3337514175691609</v>
      </c>
      <c r="L20" s="36"/>
    </row>
    <row r="21" spans="2:12" ht="35.25" customHeight="1" outlineLevel="1" x14ac:dyDescent="0.2">
      <c r="B21" s="110" t="s">
        <v>53</v>
      </c>
      <c r="C21" s="32">
        <f>919546442.35</f>
        <v>919546442.35000002</v>
      </c>
      <c r="D21" s="32">
        <f>129522004.51</f>
        <v>129522004.51000001</v>
      </c>
      <c r="E21" s="97" t="s">
        <v>78</v>
      </c>
      <c r="F21" s="97" t="s">
        <v>78</v>
      </c>
      <c r="G21" s="97" t="s">
        <v>78</v>
      </c>
      <c r="H21" s="97" t="s">
        <v>78</v>
      </c>
      <c r="I21" s="97" t="s">
        <v>78</v>
      </c>
      <c r="J21" s="33">
        <f t="shared" si="0"/>
        <v>0.70850593266337603</v>
      </c>
      <c r="K21" s="33">
        <f t="shared" si="1"/>
        <v>14.085422828562368</v>
      </c>
      <c r="L21" s="36"/>
    </row>
    <row r="22" spans="2:12" ht="12.95" customHeight="1" outlineLevel="1" x14ac:dyDescent="0.2">
      <c r="B22" s="113" t="s">
        <v>6</v>
      </c>
      <c r="C22" s="32">
        <f>738128410.56</f>
        <v>738128410.55999994</v>
      </c>
      <c r="D22" s="32">
        <f>74324777</f>
        <v>74324777</v>
      </c>
      <c r="E22" s="97" t="s">
        <v>78</v>
      </c>
      <c r="F22" s="97" t="s">
        <v>78</v>
      </c>
      <c r="G22" s="97" t="s">
        <v>78</v>
      </c>
      <c r="H22" s="97" t="s">
        <v>78</v>
      </c>
      <c r="I22" s="97" t="s">
        <v>78</v>
      </c>
      <c r="J22" s="33">
        <f t="shared" si="0"/>
        <v>0.40656833290683636</v>
      </c>
      <c r="K22" s="33">
        <f t="shared" si="1"/>
        <v>10.069355946292815</v>
      </c>
      <c r="L22" s="36"/>
    </row>
    <row r="23" spans="2:12" ht="12.95" customHeight="1" outlineLevel="1" x14ac:dyDescent="0.2">
      <c r="B23" s="110" t="s">
        <v>8</v>
      </c>
      <c r="C23" s="32">
        <f>76512447.1</f>
        <v>76512447.099999994</v>
      </c>
      <c r="D23" s="32">
        <f>10025137.85</f>
        <v>10025137.85</v>
      </c>
      <c r="E23" s="97" t="s">
        <v>78</v>
      </c>
      <c r="F23" s="97" t="s">
        <v>78</v>
      </c>
      <c r="G23" s="97" t="s">
        <v>78</v>
      </c>
      <c r="H23" s="97" t="s">
        <v>78</v>
      </c>
      <c r="I23" s="97" t="s">
        <v>78</v>
      </c>
      <c r="J23" s="33">
        <f t="shared" si="0"/>
        <v>5.4839096023600924E-2</v>
      </c>
      <c r="K23" s="33">
        <f t="shared" si="1"/>
        <v>13.102623468436942</v>
      </c>
      <c r="L23" s="36"/>
    </row>
    <row r="24" spans="2:12" ht="12.95" customHeight="1" outlineLevel="1" x14ac:dyDescent="0.2">
      <c r="B24" s="113" t="s">
        <v>6</v>
      </c>
      <c r="C24" s="32">
        <f>61712136.63</f>
        <v>61712136.630000003</v>
      </c>
      <c r="D24" s="32">
        <f>5253635.93</f>
        <v>5253635.93</v>
      </c>
      <c r="E24" s="97" t="s">
        <v>78</v>
      </c>
      <c r="F24" s="97" t="s">
        <v>78</v>
      </c>
      <c r="G24" s="97" t="s">
        <v>78</v>
      </c>
      <c r="H24" s="97" t="s">
        <v>78</v>
      </c>
      <c r="I24" s="97" t="s">
        <v>78</v>
      </c>
      <c r="J24" s="33">
        <f t="shared" si="0"/>
        <v>2.8738222810403544E-2</v>
      </c>
      <c r="K24" s="33">
        <f t="shared" si="1"/>
        <v>8.5131324515606863</v>
      </c>
      <c r="L24" s="36"/>
    </row>
    <row r="25" spans="2:12" ht="67.5" outlineLevel="1" x14ac:dyDescent="0.2">
      <c r="B25" s="110" t="s">
        <v>69</v>
      </c>
      <c r="C25" s="32">
        <f>1786450</f>
        <v>1786450</v>
      </c>
      <c r="D25" s="32">
        <f>0</f>
        <v>0</v>
      </c>
      <c r="E25" s="97" t="s">
        <v>78</v>
      </c>
      <c r="F25" s="97" t="s">
        <v>78</v>
      </c>
      <c r="G25" s="97" t="s">
        <v>78</v>
      </c>
      <c r="H25" s="97" t="s">
        <v>78</v>
      </c>
      <c r="I25" s="97" t="s">
        <v>78</v>
      </c>
      <c r="J25" s="33">
        <f t="shared" si="0"/>
        <v>0</v>
      </c>
      <c r="K25" s="33">
        <f t="shared" si="1"/>
        <v>0</v>
      </c>
      <c r="L25" s="36"/>
    </row>
    <row r="26" spans="2:12" ht="12.95" customHeight="1" outlineLevel="1" x14ac:dyDescent="0.2">
      <c r="B26" s="113" t="s">
        <v>70</v>
      </c>
      <c r="C26" s="32">
        <f>1786450</f>
        <v>1786450</v>
      </c>
      <c r="D26" s="32">
        <f>0</f>
        <v>0</v>
      </c>
      <c r="E26" s="97" t="s">
        <v>78</v>
      </c>
      <c r="F26" s="97" t="s">
        <v>78</v>
      </c>
      <c r="G26" s="97" t="s">
        <v>78</v>
      </c>
      <c r="H26" s="97" t="s">
        <v>78</v>
      </c>
      <c r="I26" s="97" t="s">
        <v>78</v>
      </c>
      <c r="J26" s="33">
        <f t="shared" si="0"/>
        <v>0</v>
      </c>
      <c r="K26" s="33">
        <f t="shared" si="1"/>
        <v>0</v>
      </c>
      <c r="L26" s="36"/>
    </row>
    <row r="27" spans="2:12" ht="45" outlineLevel="1" x14ac:dyDescent="0.2">
      <c r="B27" s="111" t="s">
        <v>68</v>
      </c>
      <c r="C27" s="69">
        <f>3787346169.15</f>
        <v>3787346169.1500001</v>
      </c>
      <c r="D27" s="69">
        <f>484104107.34</f>
        <v>484104107.33999997</v>
      </c>
      <c r="E27" s="97" t="s">
        <v>78</v>
      </c>
      <c r="F27" s="97" t="s">
        <v>78</v>
      </c>
      <c r="G27" s="97" t="s">
        <v>78</v>
      </c>
      <c r="H27" s="97" t="s">
        <v>78</v>
      </c>
      <c r="I27" s="97" t="s">
        <v>78</v>
      </c>
      <c r="J27" s="70">
        <f t="shared" si="0"/>
        <v>2.6481263425058907</v>
      </c>
      <c r="K27" s="70">
        <f t="shared" si="1"/>
        <v>12.78214574847401</v>
      </c>
      <c r="L27" s="36"/>
    </row>
    <row r="28" spans="2:12" ht="12.95" customHeight="1" outlineLevel="1" x14ac:dyDescent="0.2">
      <c r="B28" s="113" t="s">
        <v>6</v>
      </c>
      <c r="C28" s="32">
        <f>3787071871.44</f>
        <v>3787071871.4400001</v>
      </c>
      <c r="D28" s="32">
        <f>484104107.34</f>
        <v>484104107.33999997</v>
      </c>
      <c r="E28" s="97" t="s">
        <v>78</v>
      </c>
      <c r="F28" s="97" t="s">
        <v>78</v>
      </c>
      <c r="G28" s="97" t="s">
        <v>78</v>
      </c>
      <c r="H28" s="97" t="s">
        <v>78</v>
      </c>
      <c r="I28" s="97" t="s">
        <v>78</v>
      </c>
      <c r="J28" s="33">
        <f t="shared" si="0"/>
        <v>2.6481263425058907</v>
      </c>
      <c r="K28" s="33">
        <f t="shared" si="1"/>
        <v>12.783071559609027</v>
      </c>
      <c r="L28" s="36"/>
    </row>
    <row r="29" spans="2:12" ht="22.5" outlineLevel="1" x14ac:dyDescent="0.2">
      <c r="B29" s="111" t="s">
        <v>86</v>
      </c>
      <c r="C29" s="32">
        <f>238572499.21</f>
        <v>238572499.21000001</v>
      </c>
      <c r="D29" s="32">
        <f>170682646.24</f>
        <v>170682646.24000001</v>
      </c>
      <c r="E29" s="97" t="s">
        <v>78</v>
      </c>
      <c r="F29" s="97" t="s">
        <v>78</v>
      </c>
      <c r="G29" s="97" t="s">
        <v>78</v>
      </c>
      <c r="H29" s="97" t="s">
        <v>78</v>
      </c>
      <c r="I29" s="97" t="s">
        <v>78</v>
      </c>
      <c r="J29" s="33">
        <f t="shared" si="0"/>
        <v>0.93366117920440039</v>
      </c>
      <c r="K29" s="33">
        <f t="shared" si="1"/>
        <v>71.543303107102489</v>
      </c>
      <c r="L29" s="36"/>
    </row>
    <row r="30" spans="2:12" ht="12.95" customHeight="1" outlineLevel="1" x14ac:dyDescent="0.2">
      <c r="B30" s="113" t="s">
        <v>6</v>
      </c>
      <c r="C30" s="32">
        <f>0</f>
        <v>0</v>
      </c>
      <c r="D30" s="32">
        <f>0</f>
        <v>0</v>
      </c>
      <c r="E30" s="97" t="s">
        <v>78</v>
      </c>
      <c r="F30" s="97" t="s">
        <v>78</v>
      </c>
      <c r="G30" s="97" t="s">
        <v>78</v>
      </c>
      <c r="H30" s="97" t="s">
        <v>78</v>
      </c>
      <c r="I30" s="97" t="s">
        <v>78</v>
      </c>
      <c r="J30" s="33">
        <f t="shared" si="0"/>
        <v>0</v>
      </c>
      <c r="K30" s="33" t="str">
        <f t="shared" si="1"/>
        <v/>
      </c>
      <c r="L30" s="36"/>
    </row>
    <row r="31" spans="2:12" ht="12.95" customHeight="1" outlineLevel="1" x14ac:dyDescent="0.2">
      <c r="B31" s="112" t="s">
        <v>60</v>
      </c>
      <c r="C31" s="30">
        <f>134805292.7</f>
        <v>134805292.69999999</v>
      </c>
      <c r="D31" s="30">
        <f>27045161.31</f>
        <v>27045161.309999999</v>
      </c>
      <c r="E31" s="97" t="s">
        <v>78</v>
      </c>
      <c r="F31" s="97" t="s">
        <v>78</v>
      </c>
      <c r="G31" s="97" t="s">
        <v>78</v>
      </c>
      <c r="H31" s="97" t="s">
        <v>78</v>
      </c>
      <c r="I31" s="97" t="s">
        <v>78</v>
      </c>
      <c r="J31" s="34">
        <f t="shared" si="0"/>
        <v>0.14794132711630162</v>
      </c>
      <c r="K31" s="34">
        <f t="shared" si="1"/>
        <v>20.062388329356747</v>
      </c>
      <c r="L31" s="21"/>
    </row>
    <row r="32" spans="2:12" ht="12.95" customHeight="1" outlineLevel="1" x14ac:dyDescent="0.2">
      <c r="B32" s="114" t="s">
        <v>46</v>
      </c>
      <c r="C32" s="35">
        <f>65602510.57</f>
        <v>65602510.57</v>
      </c>
      <c r="D32" s="35">
        <f>7621083.02</f>
        <v>7621083.0199999996</v>
      </c>
      <c r="E32" s="97" t="s">
        <v>78</v>
      </c>
      <c r="F32" s="97" t="s">
        <v>78</v>
      </c>
      <c r="G32" s="97" t="s">
        <v>78</v>
      </c>
      <c r="H32" s="97" t="s">
        <v>78</v>
      </c>
      <c r="I32" s="97" t="s">
        <v>78</v>
      </c>
      <c r="J32" s="33">
        <f t="shared" si="0"/>
        <v>4.16885343414619E-2</v>
      </c>
      <c r="K32" s="33">
        <f t="shared" si="1"/>
        <v>11.617060008500831</v>
      </c>
      <c r="L32" s="21"/>
    </row>
    <row r="33" spans="1:26" ht="12.95" customHeight="1" outlineLevel="1" x14ac:dyDescent="0.2">
      <c r="B33" s="112" t="s">
        <v>61</v>
      </c>
      <c r="C33" s="58">
        <f>2270737276.14</f>
        <v>2270737276.1399999</v>
      </c>
      <c r="D33" s="58">
        <f>282428411.28</f>
        <v>282428411.27999997</v>
      </c>
      <c r="E33" s="97" t="s">
        <v>78</v>
      </c>
      <c r="F33" s="97" t="s">
        <v>78</v>
      </c>
      <c r="G33" s="97" t="s">
        <v>78</v>
      </c>
      <c r="H33" s="97" t="s">
        <v>78</v>
      </c>
      <c r="I33" s="97" t="s">
        <v>78</v>
      </c>
      <c r="J33" s="59">
        <f t="shared" si="0"/>
        <v>1.5449282591138607</v>
      </c>
      <c r="K33" s="59">
        <f t="shared" si="1"/>
        <v>12.437740563280697</v>
      </c>
      <c r="L33" s="21"/>
    </row>
    <row r="34" spans="1:26" ht="12.95" customHeight="1" outlineLevel="1" x14ac:dyDescent="0.2">
      <c r="B34" s="114" t="s">
        <v>58</v>
      </c>
      <c r="C34" s="35">
        <f>1568485253.19</f>
        <v>1568485253.1900001</v>
      </c>
      <c r="D34" s="35">
        <f>123754777.64</f>
        <v>123754777.64</v>
      </c>
      <c r="E34" s="97" t="s">
        <v>78</v>
      </c>
      <c r="F34" s="97" t="s">
        <v>78</v>
      </c>
      <c r="G34" s="97" t="s">
        <v>78</v>
      </c>
      <c r="H34" s="97" t="s">
        <v>78</v>
      </c>
      <c r="I34" s="97" t="s">
        <v>78</v>
      </c>
      <c r="J34" s="33">
        <f t="shared" si="0"/>
        <v>0.67695828585333029</v>
      </c>
      <c r="K34" s="33">
        <f t="shared" si="1"/>
        <v>7.890082319123267</v>
      </c>
      <c r="L34" s="21"/>
    </row>
    <row r="35" spans="1:26" s="5" customFormat="1" ht="26.85" customHeight="1" x14ac:dyDescent="0.2">
      <c r="B35" s="106" t="s">
        <v>98</v>
      </c>
      <c r="C35" s="30">
        <f>10584568529.67</f>
        <v>10584568529.67</v>
      </c>
      <c r="D35" s="30">
        <f>4021011140.25</f>
        <v>4021011140.25</v>
      </c>
      <c r="E35" s="97" t="s">
        <v>78</v>
      </c>
      <c r="F35" s="97" t="s">
        <v>78</v>
      </c>
      <c r="G35" s="97" t="s">
        <v>78</v>
      </c>
      <c r="H35" s="97" t="s">
        <v>78</v>
      </c>
      <c r="I35" s="97" t="s">
        <v>78</v>
      </c>
      <c r="J35" s="31">
        <f t="shared" si="0"/>
        <v>21.995569470612196</v>
      </c>
      <c r="K35" s="31">
        <f t="shared" si="1"/>
        <v>37.989372254320557</v>
      </c>
      <c r="L35" s="22"/>
    </row>
    <row r="36" spans="1:26" ht="12.95" customHeight="1" outlineLevel="1" x14ac:dyDescent="0.2">
      <c r="B36" s="108" t="s">
        <v>99</v>
      </c>
      <c r="C36" s="32">
        <f>0</f>
        <v>0</v>
      </c>
      <c r="D36" s="32">
        <f>0</f>
        <v>0</v>
      </c>
      <c r="E36" s="97" t="s">
        <v>78</v>
      </c>
      <c r="F36" s="97" t="s">
        <v>78</v>
      </c>
      <c r="G36" s="97" t="s">
        <v>78</v>
      </c>
      <c r="H36" s="97" t="s">
        <v>78</v>
      </c>
      <c r="I36" s="97" t="s">
        <v>78</v>
      </c>
      <c r="J36" s="33">
        <f t="shared" si="0"/>
        <v>0</v>
      </c>
      <c r="K36" s="33" t="str">
        <f t="shared" si="1"/>
        <v/>
      </c>
      <c r="L36" s="21"/>
    </row>
    <row r="37" spans="1:26" ht="22.5" outlineLevel="1" x14ac:dyDescent="0.2">
      <c r="B37" s="108" t="s">
        <v>100</v>
      </c>
      <c r="C37" s="32">
        <f>494677353.39</f>
        <v>494677353.38999999</v>
      </c>
      <c r="D37" s="32">
        <f>119624497.8</f>
        <v>119624497.8</v>
      </c>
      <c r="E37" s="97" t="s">
        <v>78</v>
      </c>
      <c r="F37" s="97" t="s">
        <v>78</v>
      </c>
      <c r="G37" s="97" t="s">
        <v>78</v>
      </c>
      <c r="H37" s="97" t="s">
        <v>78</v>
      </c>
      <c r="I37" s="97" t="s">
        <v>78</v>
      </c>
      <c r="J37" s="33">
        <f t="shared" si="0"/>
        <v>0.65436499924330094</v>
      </c>
      <c r="K37" s="33">
        <f t="shared" si="1"/>
        <v>24.182327527269866</v>
      </c>
      <c r="L37" s="21"/>
    </row>
    <row r="38" spans="1:26" ht="12.95" customHeight="1" outlineLevel="1" x14ac:dyDescent="0.2">
      <c r="B38" s="110" t="s">
        <v>6</v>
      </c>
      <c r="C38" s="32">
        <f>48339172.81</f>
        <v>48339172.810000002</v>
      </c>
      <c r="D38" s="32">
        <f>0</f>
        <v>0</v>
      </c>
      <c r="E38" s="97" t="s">
        <v>78</v>
      </c>
      <c r="F38" s="97" t="s">
        <v>78</v>
      </c>
      <c r="G38" s="97" t="s">
        <v>78</v>
      </c>
      <c r="H38" s="97" t="s">
        <v>78</v>
      </c>
      <c r="I38" s="97" t="s">
        <v>78</v>
      </c>
      <c r="J38" s="33">
        <f t="shared" si="0"/>
        <v>0</v>
      </c>
      <c r="K38" s="33">
        <f t="shared" si="1"/>
        <v>0</v>
      </c>
      <c r="L38" s="21"/>
    </row>
    <row r="39" spans="1:26" s="5" customFormat="1" ht="12.95" customHeight="1" x14ac:dyDescent="0.2">
      <c r="B39" s="105" t="s">
        <v>5</v>
      </c>
      <c r="C39" s="58">
        <f>+C5</f>
        <v>58070903876.080002</v>
      </c>
      <c r="D39" s="58">
        <f>+D5</f>
        <v>18281004934.299999</v>
      </c>
      <c r="E39" s="97" t="s">
        <v>78</v>
      </c>
      <c r="F39" s="97" t="s">
        <v>78</v>
      </c>
      <c r="G39" s="97" t="s">
        <v>78</v>
      </c>
      <c r="H39" s="97" t="s">
        <v>78</v>
      </c>
      <c r="I39" s="97" t="s">
        <v>78</v>
      </c>
      <c r="J39" s="59">
        <f>IF($D$5=0,"",100*$D39/$D$39)</f>
        <v>100</v>
      </c>
      <c r="K39" s="59">
        <f t="shared" si="1"/>
        <v>31.480489735979695</v>
      </c>
    </row>
    <row r="40" spans="1:26" s="5" customFormat="1" ht="12.95" customHeight="1" x14ac:dyDescent="0.2">
      <c r="B40" s="115" t="s">
        <v>48</v>
      </c>
      <c r="C40" s="32">
        <f>8758402199.35</f>
        <v>8758402199.3500004</v>
      </c>
      <c r="D40" s="32">
        <f>972854557.2</f>
        <v>972854557.20000005</v>
      </c>
      <c r="E40" s="97" t="s">
        <v>78</v>
      </c>
      <c r="F40" s="97" t="s">
        <v>78</v>
      </c>
      <c r="G40" s="97" t="s">
        <v>78</v>
      </c>
      <c r="H40" s="97" t="s">
        <v>78</v>
      </c>
      <c r="I40" s="97" t="s">
        <v>78</v>
      </c>
      <c r="J40" s="33">
        <f>IF($D$5=0,"",100*$D40/$D$39)</f>
        <v>5.3216689164317632</v>
      </c>
      <c r="K40" s="33">
        <f t="shared" si="1"/>
        <v>11.107671639836314</v>
      </c>
    </row>
    <row r="41" spans="1:26" s="5" customFormat="1" ht="12.95" customHeight="1" x14ac:dyDescent="0.2">
      <c r="A41" s="2"/>
      <c r="B41" s="115" t="s">
        <v>49</v>
      </c>
      <c r="C41" s="32">
        <f>C39-C40</f>
        <v>49312501676.730003</v>
      </c>
      <c r="D41" s="32">
        <f>D39-D40</f>
        <v>17308150377.099998</v>
      </c>
      <c r="E41" s="97" t="s">
        <v>78</v>
      </c>
      <c r="F41" s="97" t="s">
        <v>78</v>
      </c>
      <c r="G41" s="97" t="s">
        <v>78</v>
      </c>
      <c r="H41" s="97" t="s">
        <v>78</v>
      </c>
      <c r="I41" s="97" t="s">
        <v>78</v>
      </c>
      <c r="J41" s="33">
        <f>IF($D$5=0,"",100*$D41/$D$39)</f>
        <v>94.678331083568224</v>
      </c>
      <c r="K41" s="33">
        <f t="shared" si="1"/>
        <v>35.098909583951432</v>
      </c>
      <c r="M41" s="15"/>
      <c r="N41" s="15"/>
      <c r="O41" s="9"/>
      <c r="P41" s="9"/>
      <c r="Q41" s="3"/>
    </row>
    <row r="42" spans="1:26" s="5" customFormat="1" ht="12.95" customHeight="1" x14ac:dyDescent="0.2">
      <c r="A42" s="2"/>
      <c r="B42" s="127" t="s">
        <v>87</v>
      </c>
      <c r="C42" s="76"/>
      <c r="D42" s="76"/>
      <c r="E42" s="126"/>
      <c r="F42" s="126"/>
      <c r="G42" s="126"/>
      <c r="H42" s="126"/>
      <c r="I42" s="126"/>
      <c r="J42" s="57"/>
      <c r="K42" s="57"/>
      <c r="M42" s="15"/>
      <c r="N42" s="15"/>
      <c r="O42" s="9"/>
      <c r="P42" s="9"/>
      <c r="Q42" s="3"/>
    </row>
    <row r="43" spans="1:26" ht="20.100000000000001" customHeight="1" x14ac:dyDescent="0.2">
      <c r="B43" s="116" t="str">
        <f>CONCATENATE("Informacja z wykonania budżetów powiatów za ",$D$114," ",$C$115," rok     ",$C$117,"")</f>
        <v xml:space="preserve">Informacja z wykonania budżetów powiatów za I Kwartał 2025 rok     </v>
      </c>
      <c r="C43" s="116"/>
      <c r="D43" s="116"/>
      <c r="E43" s="116"/>
      <c r="F43" s="116"/>
      <c r="G43" s="116"/>
      <c r="H43" s="116"/>
      <c r="I43" s="116"/>
      <c r="J43" s="116"/>
      <c r="K43" s="116"/>
      <c r="L43" s="116"/>
      <c r="M43" s="116"/>
    </row>
    <row r="44" spans="1:26" s="5" customFormat="1" ht="9" customHeight="1" x14ac:dyDescent="0.2">
      <c r="B44" s="6"/>
      <c r="C44" s="7"/>
      <c r="D44" s="8"/>
      <c r="E44" s="8"/>
      <c r="F44" s="4"/>
      <c r="G44" s="4"/>
      <c r="H44" s="4"/>
      <c r="I44" s="4"/>
      <c r="J44" s="4"/>
      <c r="K44" s="9"/>
      <c r="L44" s="9"/>
      <c r="M44" s="3"/>
    </row>
    <row r="45" spans="1:26" ht="29.25" customHeight="1" x14ac:dyDescent="0.2">
      <c r="B45" s="155" t="s">
        <v>0</v>
      </c>
      <c r="C45" s="137" t="s">
        <v>31</v>
      </c>
      <c r="D45" s="137" t="s">
        <v>33</v>
      </c>
      <c r="E45" s="137" t="s">
        <v>32</v>
      </c>
      <c r="F45" s="137" t="s">
        <v>12</v>
      </c>
      <c r="G45" s="137"/>
      <c r="H45" s="137"/>
      <c r="I45" s="156" t="s">
        <v>59</v>
      </c>
      <c r="J45" s="137" t="s">
        <v>2</v>
      </c>
      <c r="K45" s="141" t="s">
        <v>18</v>
      </c>
      <c r="M45" s="10"/>
      <c r="N45" s="73"/>
      <c r="O45" s="77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</row>
    <row r="46" spans="1:26" ht="18" customHeight="1" x14ac:dyDescent="0.2">
      <c r="B46" s="155"/>
      <c r="C46" s="137"/>
      <c r="D46" s="137"/>
      <c r="E46" s="138"/>
      <c r="F46" s="139" t="s">
        <v>34</v>
      </c>
      <c r="G46" s="153" t="s">
        <v>23</v>
      </c>
      <c r="H46" s="138"/>
      <c r="I46" s="157"/>
      <c r="J46" s="137"/>
      <c r="K46" s="141"/>
      <c r="L46" s="11"/>
      <c r="M46" s="12"/>
      <c r="N46" s="74"/>
      <c r="O46" s="78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</row>
    <row r="47" spans="1:26" ht="57" customHeight="1" x14ac:dyDescent="0.2">
      <c r="B47" s="155"/>
      <c r="C47" s="137"/>
      <c r="D47" s="137"/>
      <c r="E47" s="138"/>
      <c r="F47" s="138"/>
      <c r="G47" s="17" t="s">
        <v>29</v>
      </c>
      <c r="H47" s="17" t="s">
        <v>30</v>
      </c>
      <c r="I47" s="158"/>
      <c r="J47" s="137"/>
      <c r="K47" s="141"/>
      <c r="L47" s="11"/>
      <c r="M47" s="10"/>
      <c r="N47" s="74"/>
      <c r="O47" s="76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</row>
    <row r="48" spans="1:26" ht="13.5" customHeight="1" x14ac:dyDescent="0.2">
      <c r="B48" s="155"/>
      <c r="C48" s="159" t="s">
        <v>52</v>
      </c>
      <c r="D48" s="160"/>
      <c r="E48" s="160"/>
      <c r="F48" s="160"/>
      <c r="G48" s="160"/>
      <c r="H48" s="160"/>
      <c r="I48" s="161"/>
      <c r="J48" s="162" t="s">
        <v>4</v>
      </c>
      <c r="K48" s="162"/>
      <c r="N48" s="10"/>
      <c r="O48" s="78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</row>
    <row r="49" spans="2:26" ht="11.25" customHeight="1" x14ac:dyDescent="0.2">
      <c r="B49" s="16">
        <v>1</v>
      </c>
      <c r="C49" s="18">
        <v>2</v>
      </c>
      <c r="D49" s="18">
        <v>3</v>
      </c>
      <c r="E49" s="18">
        <v>4</v>
      </c>
      <c r="F49" s="16">
        <v>5</v>
      </c>
      <c r="G49" s="16">
        <v>6</v>
      </c>
      <c r="H49" s="18">
        <v>7</v>
      </c>
      <c r="I49" s="18">
        <v>8</v>
      </c>
      <c r="J49" s="16">
        <v>9</v>
      </c>
      <c r="K49" s="18">
        <v>10</v>
      </c>
      <c r="M49" s="10"/>
      <c r="N49" s="10"/>
      <c r="O49" s="76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</row>
    <row r="50" spans="2:26" ht="26.85" customHeight="1" x14ac:dyDescent="0.2">
      <c r="B50" s="103" t="s">
        <v>37</v>
      </c>
      <c r="C50" s="60">
        <f>61464247576.24</f>
        <v>61464247576.239998</v>
      </c>
      <c r="D50" s="72">
        <f>12510624884.02</f>
        <v>12510624884.02</v>
      </c>
      <c r="E50" s="72">
        <f>39108176324.27</f>
        <v>39108176324.269997</v>
      </c>
      <c r="F50" s="60">
        <f>1289326322.41</f>
        <v>1289326322.4100001</v>
      </c>
      <c r="G50" s="60">
        <f>232390.8</f>
        <v>232390.8</v>
      </c>
      <c r="H50" s="60">
        <f>83238.8</f>
        <v>83238.8</v>
      </c>
      <c r="I50" s="80">
        <f>0</f>
        <v>0</v>
      </c>
      <c r="J50" s="50">
        <f>IF($D$50=0,"",100*$D50/$D$50)</f>
        <v>100</v>
      </c>
      <c r="K50" s="50">
        <f>IF(C50=0,"",100*D50/C50)</f>
        <v>20.354312266658553</v>
      </c>
      <c r="O50" s="75"/>
    </row>
    <row r="51" spans="2:26" ht="12.95" customHeight="1" x14ac:dyDescent="0.2">
      <c r="B51" s="19" t="s">
        <v>14</v>
      </c>
      <c r="C51" s="38">
        <f>13893833470.92</f>
        <v>13893833470.92</v>
      </c>
      <c r="D51" s="38">
        <f>1152509907.06</f>
        <v>1152509907.0599999</v>
      </c>
      <c r="E51" s="38">
        <f>6056050490.22</f>
        <v>6056050490.2200003</v>
      </c>
      <c r="F51" s="38">
        <f>206798344.23</f>
        <v>206798344.22999999</v>
      </c>
      <c r="G51" s="38">
        <f>11598.53</f>
        <v>11598.53</v>
      </c>
      <c r="H51" s="38">
        <f>6810.65</f>
        <v>6810.65</v>
      </c>
      <c r="I51" s="81">
        <f>0</f>
        <v>0</v>
      </c>
      <c r="J51" s="50">
        <f t="shared" ref="J51:J59" si="2">IF($D$50=0,"",100*$D51/$D$50)</f>
        <v>9.2122489303641206</v>
      </c>
      <c r="K51" s="50">
        <f t="shared" ref="K51:K59" si="3">IF(C51=0,"",100*D51/C51)</f>
        <v>8.2951181865841441</v>
      </c>
      <c r="O51" s="76"/>
    </row>
    <row r="52" spans="2:26" ht="12.95" customHeight="1" outlineLevel="1" x14ac:dyDescent="0.2">
      <c r="B52" s="20" t="s">
        <v>13</v>
      </c>
      <c r="C52" s="35">
        <f>13816133890.31</f>
        <v>13816133890.309999</v>
      </c>
      <c r="D52" s="35">
        <f>1111326373.56</f>
        <v>1111326373.5599999</v>
      </c>
      <c r="E52" s="35">
        <f>6011116956.72</f>
        <v>6011116956.7200003</v>
      </c>
      <c r="F52" s="35">
        <f>206798344.23</f>
        <v>206798344.22999999</v>
      </c>
      <c r="G52" s="35">
        <f>11598.53</f>
        <v>11598.53</v>
      </c>
      <c r="H52" s="35">
        <f>6810.65</f>
        <v>6810.65</v>
      </c>
      <c r="I52" s="82">
        <f>0</f>
        <v>0</v>
      </c>
      <c r="J52" s="50">
        <f t="shared" si="2"/>
        <v>8.8830604695015118</v>
      </c>
      <c r="K52" s="50">
        <f t="shared" si="3"/>
        <v>8.0436856097597111</v>
      </c>
      <c r="O52" s="75"/>
    </row>
    <row r="53" spans="2:26" ht="26.85" customHeight="1" x14ac:dyDescent="0.2">
      <c r="B53" s="19" t="s">
        <v>38</v>
      </c>
      <c r="C53" s="38">
        <f t="shared" ref="C53:I53" si="4">C50-C51</f>
        <v>47570414105.32</v>
      </c>
      <c r="D53" s="38">
        <f>D50-D51</f>
        <v>11358114976.960001</v>
      </c>
      <c r="E53" s="38">
        <f>E50-E51</f>
        <v>33052125834.049995</v>
      </c>
      <c r="F53" s="38">
        <f t="shared" si="4"/>
        <v>1082527978.1800001</v>
      </c>
      <c r="G53" s="38">
        <f t="shared" si="4"/>
        <v>220792.27</v>
      </c>
      <c r="H53" s="38">
        <f t="shared" si="4"/>
        <v>76428.150000000009</v>
      </c>
      <c r="I53" s="81">
        <f t="shared" si="4"/>
        <v>0</v>
      </c>
      <c r="J53" s="50">
        <f t="shared" si="2"/>
        <v>90.787751069635874</v>
      </c>
      <c r="K53" s="50">
        <f t="shared" si="3"/>
        <v>23.876426536488303</v>
      </c>
      <c r="O53" s="75"/>
    </row>
    <row r="54" spans="2:26" ht="22.5" outlineLevel="1" x14ac:dyDescent="0.2">
      <c r="B54" s="20" t="s">
        <v>77</v>
      </c>
      <c r="C54" s="35">
        <f>30853154150.59</f>
        <v>30853154150.59</v>
      </c>
      <c r="D54" s="35">
        <f>8294124558.01</f>
        <v>8294124558.0100002</v>
      </c>
      <c r="E54" s="35">
        <f>25479691447.08</f>
        <v>25479691447.080002</v>
      </c>
      <c r="F54" s="35">
        <f>732432022.02</f>
        <v>732432022.01999998</v>
      </c>
      <c r="G54" s="35">
        <f>1298.77</f>
        <v>1298.77</v>
      </c>
      <c r="H54" s="35">
        <f>990</f>
        <v>990</v>
      </c>
      <c r="I54" s="82">
        <f>0</f>
        <v>0</v>
      </c>
      <c r="J54" s="50">
        <f t="shared" si="2"/>
        <v>66.296644931015422</v>
      </c>
      <c r="K54" s="50">
        <f t="shared" si="3"/>
        <v>26.882582304316504</v>
      </c>
      <c r="O54" s="76"/>
    </row>
    <row r="55" spans="2:26" ht="12.95" customHeight="1" outlineLevel="1" x14ac:dyDescent="0.2">
      <c r="B55" s="23" t="s">
        <v>28</v>
      </c>
      <c r="C55" s="61">
        <f>4215792504.16</f>
        <v>4215792504.1599998</v>
      </c>
      <c r="D55" s="61">
        <f>996363790.69</f>
        <v>996363790.69000006</v>
      </c>
      <c r="E55" s="61">
        <f>2434350857.93</f>
        <v>2434350857.9299998</v>
      </c>
      <c r="F55" s="61">
        <f>7280353.75</f>
        <v>7280353.75</v>
      </c>
      <c r="G55" s="61">
        <f>0</f>
        <v>0</v>
      </c>
      <c r="H55" s="61">
        <f>0</f>
        <v>0</v>
      </c>
      <c r="I55" s="83">
        <f>0</f>
        <v>0</v>
      </c>
      <c r="J55" s="50">
        <f t="shared" si="2"/>
        <v>7.9641408796667674</v>
      </c>
      <c r="K55" s="50">
        <f t="shared" si="3"/>
        <v>23.634080418019206</v>
      </c>
    </row>
    <row r="56" spans="2:26" ht="12.95" customHeight="1" outlineLevel="1" x14ac:dyDescent="0.2">
      <c r="B56" s="23" t="s">
        <v>27</v>
      </c>
      <c r="C56" s="32">
        <f>511038601.3</f>
        <v>511038601.30000001</v>
      </c>
      <c r="D56" s="32">
        <f>74668806.67</f>
        <v>74668806.670000002</v>
      </c>
      <c r="E56" s="32">
        <f>192828947.36</f>
        <v>192828947.36000001</v>
      </c>
      <c r="F56" s="32">
        <f>18734061.86</f>
        <v>18734061.859999999</v>
      </c>
      <c r="G56" s="32">
        <f>0</f>
        <v>0</v>
      </c>
      <c r="H56" s="32">
        <f>0</f>
        <v>0</v>
      </c>
      <c r="I56" s="84">
        <f>0</f>
        <v>0</v>
      </c>
      <c r="J56" s="50">
        <f t="shared" si="2"/>
        <v>0.59684314222685653</v>
      </c>
      <c r="K56" s="50">
        <f t="shared" si="3"/>
        <v>14.61118719408956</v>
      </c>
    </row>
    <row r="57" spans="2:26" ht="22.5" customHeight="1" outlineLevel="1" x14ac:dyDescent="0.2">
      <c r="B57" s="23" t="s">
        <v>44</v>
      </c>
      <c r="C57" s="61">
        <f>54908434.51</f>
        <v>54908434.509999998</v>
      </c>
      <c r="D57" s="61">
        <f>2143569.85</f>
        <v>2143569.85</v>
      </c>
      <c r="E57" s="61">
        <f>7638971.88</f>
        <v>7638971.8799999999</v>
      </c>
      <c r="F57" s="61">
        <f>0</f>
        <v>0</v>
      </c>
      <c r="G57" s="61">
        <f>0</f>
        <v>0</v>
      </c>
      <c r="H57" s="61">
        <f>0</f>
        <v>0</v>
      </c>
      <c r="I57" s="83">
        <f>0</f>
        <v>0</v>
      </c>
      <c r="J57" s="50">
        <f t="shared" si="2"/>
        <v>1.7133995063172362E-2</v>
      </c>
      <c r="K57" s="50">
        <f t="shared" si="3"/>
        <v>3.9038990441616219</v>
      </c>
    </row>
    <row r="58" spans="2:26" ht="12.95" customHeight="1" outlineLevel="1" x14ac:dyDescent="0.2">
      <c r="B58" s="23" t="s">
        <v>45</v>
      </c>
      <c r="C58" s="61">
        <f>1398393728.95</f>
        <v>1398393728.95</v>
      </c>
      <c r="D58" s="61">
        <f>295962950.86</f>
        <v>295962950.86000001</v>
      </c>
      <c r="E58" s="61">
        <f>784069347.7</f>
        <v>784069347.70000005</v>
      </c>
      <c r="F58" s="61">
        <f>12460183.64</f>
        <v>12460183.640000001</v>
      </c>
      <c r="G58" s="61">
        <f>0</f>
        <v>0</v>
      </c>
      <c r="H58" s="61">
        <f>0</f>
        <v>0</v>
      </c>
      <c r="I58" s="85">
        <f>0</f>
        <v>0</v>
      </c>
      <c r="J58" s="50">
        <f t="shared" si="2"/>
        <v>2.3656927899583793</v>
      </c>
      <c r="K58" s="50">
        <f t="shared" si="3"/>
        <v>21.164493570936362</v>
      </c>
    </row>
    <row r="59" spans="2:26" ht="12.95" customHeight="1" outlineLevel="1" x14ac:dyDescent="0.2">
      <c r="B59" s="20" t="s">
        <v>26</v>
      </c>
      <c r="C59" s="35">
        <f t="shared" ref="C59:I59" si="5">C53-C54-C55-C56-C57-C58</f>
        <v>10537126685.809999</v>
      </c>
      <c r="D59" s="35">
        <f>D53-D54-D55-D56-D57-D58</f>
        <v>1694851300.8800006</v>
      </c>
      <c r="E59" s="86">
        <f>E53-E54-E55-E56-E57-E58</f>
        <v>4153546262.0999937</v>
      </c>
      <c r="F59" s="86">
        <f t="shared" si="5"/>
        <v>311621356.91000009</v>
      </c>
      <c r="G59" s="86">
        <f t="shared" si="5"/>
        <v>219493.5</v>
      </c>
      <c r="H59" s="86">
        <f t="shared" si="5"/>
        <v>75438.150000000009</v>
      </c>
      <c r="I59" s="87">
        <f t="shared" si="5"/>
        <v>0</v>
      </c>
      <c r="J59" s="50">
        <f t="shared" si="2"/>
        <v>13.54729533170528</v>
      </c>
      <c r="K59" s="50">
        <f t="shared" si="3"/>
        <v>16.084567941679975</v>
      </c>
    </row>
    <row r="60" spans="2:26" ht="12.95" customHeight="1" x14ac:dyDescent="0.2">
      <c r="B60" s="103" t="s">
        <v>15</v>
      </c>
      <c r="C60" s="64">
        <f>C5-C50</f>
        <v>-3393343700.159996</v>
      </c>
      <c r="D60" s="64">
        <f>D5-D50</f>
        <v>5770380050.2799988</v>
      </c>
      <c r="E60" s="92"/>
      <c r="F60" s="93"/>
      <c r="G60" s="93"/>
      <c r="H60" s="93"/>
      <c r="I60" s="140"/>
      <c r="J60" s="140"/>
      <c r="K60" s="94"/>
      <c r="L60" s="88"/>
      <c r="M60" s="13"/>
    </row>
    <row r="61" spans="2:26" ht="39" customHeight="1" x14ac:dyDescent="0.2">
      <c r="B61" s="129" t="s">
        <v>109</v>
      </c>
      <c r="C61" s="65">
        <f>C41-C53</f>
        <v>1742087571.4100037</v>
      </c>
      <c r="D61" s="65">
        <f>D41-D53</f>
        <v>5950035400.1399975</v>
      </c>
      <c r="E61" s="91"/>
      <c r="F61" s="89"/>
      <c r="G61" s="89"/>
      <c r="H61" s="89"/>
      <c r="I61" s="89"/>
      <c r="J61" s="89"/>
      <c r="K61" s="90"/>
      <c r="L61" s="90"/>
      <c r="M61" s="10"/>
    </row>
    <row r="62" spans="2:26" ht="12" customHeight="1" outlineLevel="1" x14ac:dyDescent="0.2">
      <c r="B62" s="37"/>
      <c r="C62" s="42"/>
      <c r="D62" s="42"/>
      <c r="E62" s="42"/>
      <c r="F62" s="43"/>
      <c r="G62" s="43"/>
      <c r="H62" s="43"/>
      <c r="I62" s="43"/>
      <c r="J62" s="40"/>
      <c r="K62" s="40"/>
      <c r="L62" s="41"/>
      <c r="M62" s="10"/>
    </row>
    <row r="63" spans="2:26" ht="12" customHeight="1" outlineLevel="1" x14ac:dyDescent="0.2">
      <c r="B63" s="37"/>
      <c r="C63" s="42"/>
      <c r="D63" s="42"/>
      <c r="E63" s="42"/>
      <c r="F63" s="43"/>
      <c r="G63" s="43"/>
      <c r="H63" s="43"/>
      <c r="I63" s="43"/>
      <c r="J63" s="40"/>
      <c r="K63" s="40"/>
      <c r="L63" s="41"/>
      <c r="M63" s="10"/>
    </row>
    <row r="64" spans="2:26" ht="12.75" customHeight="1" outlineLevel="1" x14ac:dyDescent="0.2">
      <c r="B64" s="169" t="s">
        <v>105</v>
      </c>
      <c r="C64" s="170" t="s">
        <v>101</v>
      </c>
      <c r="D64" s="170"/>
      <c r="E64" s="170" t="s">
        <v>102</v>
      </c>
      <c r="F64" s="170"/>
      <c r="G64" s="130" t="s">
        <v>110</v>
      </c>
      <c r="H64" s="43"/>
      <c r="I64" s="43"/>
      <c r="J64" s="40"/>
      <c r="K64" s="40"/>
      <c r="L64" s="41"/>
      <c r="M64" s="10"/>
    </row>
    <row r="65" spans="2:13" outlineLevel="1" x14ac:dyDescent="0.2">
      <c r="B65" s="169"/>
      <c r="C65" s="131" t="s">
        <v>103</v>
      </c>
      <c r="D65" s="131" t="s">
        <v>104</v>
      </c>
      <c r="E65" s="131" t="s">
        <v>103</v>
      </c>
      <c r="F65" s="131" t="s">
        <v>104</v>
      </c>
      <c r="G65" s="131" t="s">
        <v>103</v>
      </c>
      <c r="H65" s="43"/>
      <c r="I65" s="43"/>
      <c r="J65" s="40"/>
      <c r="K65" s="40"/>
      <c r="L65" s="41"/>
      <c r="M65" s="10"/>
    </row>
    <row r="66" spans="2:13" outlineLevel="1" x14ac:dyDescent="0.2">
      <c r="B66" s="133" t="s">
        <v>106</v>
      </c>
      <c r="C66" s="132">
        <f>25</f>
        <v>25</v>
      </c>
      <c r="D66" s="134">
        <f>44220608.84</f>
        <v>44220608.840000004</v>
      </c>
      <c r="E66" s="132">
        <f>286</f>
        <v>286</v>
      </c>
      <c r="F66" s="134">
        <f>+-3437564309</f>
        <v>-3437564309</v>
      </c>
      <c r="G66" s="132">
        <f>3</f>
        <v>3</v>
      </c>
      <c r="H66" s="43"/>
      <c r="I66" s="43"/>
      <c r="J66" s="40"/>
      <c r="K66" s="40"/>
      <c r="L66" s="41"/>
      <c r="M66" s="10"/>
    </row>
    <row r="67" spans="2:13" outlineLevel="1" x14ac:dyDescent="0.2">
      <c r="B67" s="133" t="s">
        <v>107</v>
      </c>
      <c r="C67" s="132">
        <f>314</f>
        <v>314</v>
      </c>
      <c r="D67" s="134">
        <f>5770380050.28</f>
        <v>5770380050.2799997</v>
      </c>
      <c r="E67" s="132">
        <f>0</f>
        <v>0</v>
      </c>
      <c r="F67" s="134">
        <f>0</f>
        <v>0</v>
      </c>
      <c r="G67" s="132">
        <f>0</f>
        <v>0</v>
      </c>
      <c r="H67" s="43"/>
      <c r="I67" s="43"/>
      <c r="J67" s="40"/>
      <c r="K67" s="40"/>
      <c r="L67" s="41"/>
      <c r="M67" s="10"/>
    </row>
    <row r="68" spans="2:13" outlineLevel="1" x14ac:dyDescent="0.2">
      <c r="B68" s="25"/>
      <c r="C68" s="25"/>
      <c r="D68" s="25"/>
      <c r="E68" s="25"/>
      <c r="F68" s="25"/>
      <c r="G68" s="25"/>
      <c r="H68" s="43"/>
      <c r="I68" s="43"/>
      <c r="J68" s="40"/>
      <c r="K68" s="40"/>
      <c r="L68" s="41"/>
      <c r="M68" s="10"/>
    </row>
    <row r="69" spans="2:13" ht="12.75" customHeight="1" outlineLevel="1" x14ac:dyDescent="0.2">
      <c r="B69" s="169" t="s">
        <v>108</v>
      </c>
      <c r="C69" s="170" t="s">
        <v>101</v>
      </c>
      <c r="D69" s="170"/>
      <c r="E69" s="170" t="s">
        <v>102</v>
      </c>
      <c r="F69" s="170"/>
      <c r="G69" s="130" t="s">
        <v>110</v>
      </c>
      <c r="H69" s="43"/>
      <c r="I69" s="43"/>
      <c r="J69" s="40"/>
      <c r="K69" s="40"/>
      <c r="L69" s="41"/>
      <c r="M69" s="10"/>
    </row>
    <row r="70" spans="2:13" outlineLevel="1" x14ac:dyDescent="0.2">
      <c r="B70" s="169"/>
      <c r="C70" s="131" t="s">
        <v>103</v>
      </c>
      <c r="D70" s="131" t="s">
        <v>104</v>
      </c>
      <c r="E70" s="131" t="s">
        <v>103</v>
      </c>
      <c r="F70" s="131" t="s">
        <v>104</v>
      </c>
      <c r="G70" s="131" t="s">
        <v>103</v>
      </c>
      <c r="H70" s="43"/>
      <c r="I70" s="43"/>
      <c r="J70" s="40"/>
      <c r="K70" s="40"/>
      <c r="L70" s="41"/>
      <c r="M70" s="10"/>
    </row>
    <row r="71" spans="2:13" outlineLevel="1" x14ac:dyDescent="0.2">
      <c r="B71" s="133" t="s">
        <v>106</v>
      </c>
      <c r="C71" s="132">
        <f>253</f>
        <v>253</v>
      </c>
      <c r="D71" s="134">
        <f>1921139268.2</f>
        <v>1921139268.2</v>
      </c>
      <c r="E71" s="132">
        <f>60</f>
        <v>60</v>
      </c>
      <c r="F71" s="134">
        <f>+-179051696.79</f>
        <v>-179051696.78999999</v>
      </c>
      <c r="G71" s="132">
        <f>1</f>
        <v>1</v>
      </c>
      <c r="H71" s="43"/>
      <c r="I71" s="43"/>
      <c r="J71" s="40"/>
      <c r="K71" s="40"/>
      <c r="L71" s="41"/>
      <c r="M71" s="10"/>
    </row>
    <row r="72" spans="2:13" outlineLevel="1" x14ac:dyDescent="0.2">
      <c r="B72" s="133" t="s">
        <v>107</v>
      </c>
      <c r="C72" s="132">
        <f>314</f>
        <v>314</v>
      </c>
      <c r="D72" s="134">
        <f>5950035400.14</f>
        <v>5950035400.1400003</v>
      </c>
      <c r="E72" s="132">
        <f>0</f>
        <v>0</v>
      </c>
      <c r="F72" s="134">
        <f>0</f>
        <v>0</v>
      </c>
      <c r="G72" s="132">
        <f>0</f>
        <v>0</v>
      </c>
      <c r="H72" s="43"/>
      <c r="I72" s="43"/>
      <c r="J72" s="40"/>
      <c r="K72" s="40"/>
      <c r="L72" s="41"/>
      <c r="M72" s="10"/>
    </row>
    <row r="73" spans="2:13" ht="12" customHeight="1" outlineLevel="1" x14ac:dyDescent="0.2">
      <c r="B73" s="37"/>
      <c r="C73" s="42"/>
      <c r="D73" s="42"/>
      <c r="E73" s="42"/>
      <c r="F73" s="43"/>
      <c r="G73" s="43"/>
      <c r="H73" s="43"/>
      <c r="I73" s="43"/>
      <c r="J73" s="40"/>
      <c r="K73" s="40"/>
      <c r="L73" s="41"/>
      <c r="M73" s="10"/>
    </row>
    <row r="74" spans="2:13" ht="12" customHeight="1" x14ac:dyDescent="0.2">
      <c r="B74" s="37"/>
      <c r="C74" s="42"/>
      <c r="D74" s="42"/>
      <c r="E74" s="42"/>
      <c r="F74" s="43"/>
      <c r="G74" s="43"/>
      <c r="H74" s="43"/>
      <c r="I74" s="43"/>
      <c r="J74" s="40"/>
      <c r="K74" s="40"/>
      <c r="L74" s="41"/>
      <c r="M74" s="10"/>
    </row>
    <row r="75" spans="2:13" ht="12" customHeight="1" x14ac:dyDescent="0.2">
      <c r="B75" s="125" t="s">
        <v>88</v>
      </c>
      <c r="C75" s="42"/>
      <c r="D75" s="42"/>
      <c r="E75" s="42"/>
      <c r="F75" s="43"/>
      <c r="G75" s="43"/>
      <c r="H75" s="43"/>
      <c r="I75" s="43"/>
      <c r="J75" s="40"/>
      <c r="K75" s="40"/>
      <c r="L75" s="41"/>
      <c r="M75" s="10"/>
    </row>
    <row r="76" spans="2:13" ht="26.85" customHeight="1" x14ac:dyDescent="0.2">
      <c r="B76" s="123" t="s">
        <v>85</v>
      </c>
      <c r="C76" s="121">
        <f>3348456788.15</f>
        <v>3348456788.1500001</v>
      </c>
      <c r="D76" s="62">
        <f>262170743.050001</f>
        <v>262170743.050001</v>
      </c>
      <c r="E76" s="62">
        <f>1067288680.35</f>
        <v>1067288680.35</v>
      </c>
      <c r="F76" s="62">
        <f>46861035.8</f>
        <v>46861035.799999997</v>
      </c>
      <c r="G76" s="62">
        <f>0</f>
        <v>0</v>
      </c>
      <c r="H76" s="62">
        <f>0</f>
        <v>0</v>
      </c>
      <c r="I76" s="62">
        <f>0</f>
        <v>0</v>
      </c>
      <c r="J76" s="50">
        <f>IF($D$76=0,"",100*$D76/$D$76)</f>
        <v>100</v>
      </c>
      <c r="K76" s="63">
        <f>IF(C76=0,"",100*D76/C76)</f>
        <v>7.8295991149656903</v>
      </c>
      <c r="L76" s="10"/>
    </row>
    <row r="77" spans="2:13" ht="12.95" customHeight="1" x14ac:dyDescent="0.2">
      <c r="B77" s="124" t="s">
        <v>50</v>
      </c>
      <c r="C77" s="122">
        <f>2256161299.26</f>
        <v>2256161299.2600002</v>
      </c>
      <c r="D77" s="61">
        <f>133240670.22</f>
        <v>133240670.22</v>
      </c>
      <c r="E77" s="61">
        <f>756582683.88</f>
        <v>756582683.88</v>
      </c>
      <c r="F77" s="61">
        <f>36879766.96</f>
        <v>36879766.960000001</v>
      </c>
      <c r="G77" s="61">
        <f>0</f>
        <v>0</v>
      </c>
      <c r="H77" s="61">
        <f>0</f>
        <v>0</v>
      </c>
      <c r="I77" s="61">
        <f>0</f>
        <v>0</v>
      </c>
      <c r="J77" s="50">
        <f>IF($D$76=0,"",100*$D77/$D$76)</f>
        <v>50.822097336234215</v>
      </c>
      <c r="K77" s="63">
        <f>IF(C77=0,"",100*D77/C77)</f>
        <v>5.9056358365734622</v>
      </c>
    </row>
    <row r="78" spans="2:13" ht="12.95" customHeight="1" x14ac:dyDescent="0.2">
      <c r="B78" s="124" t="s">
        <v>51</v>
      </c>
      <c r="C78" s="122">
        <f>C76-C77</f>
        <v>1092295488.8899999</v>
      </c>
      <c r="D78" s="61">
        <f t="shared" ref="D78:I78" si="6">D76-D77</f>
        <v>128930072.830001</v>
      </c>
      <c r="E78" s="61">
        <f t="shared" si="6"/>
        <v>310705996.47000003</v>
      </c>
      <c r="F78" s="61">
        <f t="shared" si="6"/>
        <v>9981268.8399999961</v>
      </c>
      <c r="G78" s="61">
        <f t="shared" si="6"/>
        <v>0</v>
      </c>
      <c r="H78" s="61">
        <f t="shared" si="6"/>
        <v>0</v>
      </c>
      <c r="I78" s="61">
        <f t="shared" si="6"/>
        <v>0</v>
      </c>
      <c r="J78" s="50">
        <f>IF($D$76=0,"",100*$D78/$D$76)</f>
        <v>49.177902663765785</v>
      </c>
      <c r="K78" s="63">
        <f>IF(C78=0,"",100*D78/C78)</f>
        <v>11.803589243147094</v>
      </c>
    </row>
    <row r="79" spans="2:13" ht="20.100000000000001" customHeight="1" x14ac:dyDescent="0.2">
      <c r="B79" s="116" t="str">
        <f>CONCATENATE("Informacja z wykonania budżetów powiatów za ",$D$114," ",$C$115," rok     ",$C$117,"")</f>
        <v xml:space="preserve">Informacja z wykonania budżetów powiatów za I Kwartał 2025 rok     </v>
      </c>
      <c r="C79" s="116"/>
      <c r="D79" s="116"/>
      <c r="E79" s="116"/>
      <c r="F79" s="116"/>
      <c r="G79" s="116"/>
      <c r="H79" s="116"/>
      <c r="I79" s="116"/>
      <c r="J79" s="116"/>
      <c r="K79" s="116"/>
      <c r="L79" s="116"/>
      <c r="M79" s="116"/>
    </row>
    <row r="80" spans="2:13" x14ac:dyDescent="0.2">
      <c r="B80" s="28" t="s">
        <v>16</v>
      </c>
      <c r="C80" s="95" t="s">
        <v>17</v>
      </c>
      <c r="D80" s="71" t="s">
        <v>1</v>
      </c>
      <c r="E80" s="144" t="s">
        <v>78</v>
      </c>
      <c r="F80" s="145"/>
      <c r="G80" s="145"/>
      <c r="H80" s="145"/>
      <c r="I80" s="146"/>
      <c r="J80" s="18" t="s">
        <v>21</v>
      </c>
      <c r="K80" s="18" t="s">
        <v>22</v>
      </c>
    </row>
    <row r="81" spans="2:11" x14ac:dyDescent="0.2">
      <c r="B81" s="28"/>
      <c r="C81" s="139" t="s">
        <v>52</v>
      </c>
      <c r="D81" s="154"/>
      <c r="E81" s="147"/>
      <c r="F81" s="148"/>
      <c r="G81" s="148"/>
      <c r="H81" s="148"/>
      <c r="I81" s="149"/>
      <c r="J81" s="135" t="s">
        <v>4</v>
      </c>
      <c r="K81" s="136"/>
    </row>
    <row r="82" spans="2:11" x14ac:dyDescent="0.2">
      <c r="B82" s="26">
        <v>1</v>
      </c>
      <c r="C82" s="29">
        <v>2</v>
      </c>
      <c r="D82" s="27">
        <v>3</v>
      </c>
      <c r="E82" s="150"/>
      <c r="F82" s="151"/>
      <c r="G82" s="151"/>
      <c r="H82" s="151"/>
      <c r="I82" s="152"/>
      <c r="J82" s="27">
        <v>4</v>
      </c>
      <c r="K82" s="27">
        <v>5</v>
      </c>
    </row>
    <row r="83" spans="2:11" ht="26.85" customHeight="1" x14ac:dyDescent="0.2">
      <c r="B83" s="104" t="s">
        <v>39</v>
      </c>
      <c r="C83" s="44">
        <f>4318211206.16</f>
        <v>4318211206.1599998</v>
      </c>
      <c r="D83" s="72">
        <f>5818358046.1</f>
        <v>5818358046.1000004</v>
      </c>
      <c r="E83" s="102" t="s">
        <v>78</v>
      </c>
      <c r="F83" s="102" t="s">
        <v>78</v>
      </c>
      <c r="G83" s="102" t="s">
        <v>78</v>
      </c>
      <c r="H83" s="102" t="s">
        <v>78</v>
      </c>
      <c r="I83" s="102" t="s">
        <v>78</v>
      </c>
      <c r="J83" s="45">
        <f>IF($D$83=0,"",100*$D83/$D$83)</f>
        <v>100</v>
      </c>
      <c r="K83" s="39">
        <f t="shared" ref="K83:K97" si="7">IF(C83=0,"",100*D83/C83)</f>
        <v>134.74000618126357</v>
      </c>
    </row>
    <row r="84" spans="2:11" ht="25.5" customHeight="1" x14ac:dyDescent="0.2">
      <c r="B84" s="118" t="s">
        <v>62</v>
      </c>
      <c r="C84" s="46">
        <f>1441024525.67</f>
        <v>1441024525.6700001</v>
      </c>
      <c r="D84" s="98">
        <f>2613458.46</f>
        <v>2613458.46</v>
      </c>
      <c r="E84" s="102" t="s">
        <v>78</v>
      </c>
      <c r="F84" s="102" t="s">
        <v>78</v>
      </c>
      <c r="G84" s="102" t="s">
        <v>78</v>
      </c>
      <c r="H84" s="102" t="s">
        <v>78</v>
      </c>
      <c r="I84" s="102" t="s">
        <v>78</v>
      </c>
      <c r="J84" s="47">
        <f t="shared" ref="J84:J93" si="8">IF($D$83=0,"",100*$D84/$D$83)</f>
        <v>4.4917456768611558E-2</v>
      </c>
      <c r="K84" s="48">
        <f t="shared" si="7"/>
        <v>0.18136113670826526</v>
      </c>
    </row>
    <row r="85" spans="2:11" ht="22.5" x14ac:dyDescent="0.2">
      <c r="B85" s="119" t="s">
        <v>63</v>
      </c>
      <c r="C85" s="66">
        <f>108850000</f>
        <v>108850000</v>
      </c>
      <c r="D85" s="56">
        <f>0</f>
        <v>0</v>
      </c>
      <c r="E85" s="102" t="s">
        <v>78</v>
      </c>
      <c r="F85" s="102" t="s">
        <v>78</v>
      </c>
      <c r="G85" s="102" t="s">
        <v>78</v>
      </c>
      <c r="H85" s="102" t="s">
        <v>78</v>
      </c>
      <c r="I85" s="102" t="s">
        <v>78</v>
      </c>
      <c r="J85" s="67">
        <f t="shared" si="8"/>
        <v>0</v>
      </c>
      <c r="K85" s="68">
        <f t="shared" si="7"/>
        <v>0</v>
      </c>
    </row>
    <row r="86" spans="2:11" ht="12.95" customHeight="1" x14ac:dyDescent="0.2">
      <c r="B86" s="117" t="s">
        <v>64</v>
      </c>
      <c r="C86" s="66">
        <f>71874844.15</f>
        <v>71874844.150000006</v>
      </c>
      <c r="D86" s="56">
        <f>1121037</f>
        <v>1121037</v>
      </c>
      <c r="E86" s="102" t="s">
        <v>78</v>
      </c>
      <c r="F86" s="102" t="s">
        <v>78</v>
      </c>
      <c r="G86" s="102" t="s">
        <v>78</v>
      </c>
      <c r="H86" s="102" t="s">
        <v>78</v>
      </c>
      <c r="I86" s="102" t="s">
        <v>78</v>
      </c>
      <c r="J86" s="67">
        <f t="shared" si="8"/>
        <v>1.926723984873056E-2</v>
      </c>
      <c r="K86" s="68">
        <f t="shared" si="7"/>
        <v>1.5597070341612698</v>
      </c>
    </row>
    <row r="87" spans="2:11" ht="48.75" customHeight="1" x14ac:dyDescent="0.2">
      <c r="B87" s="117" t="s">
        <v>71</v>
      </c>
      <c r="C87" s="66">
        <f>613304442</f>
        <v>613304442</v>
      </c>
      <c r="D87" s="56">
        <f>1936436441.06</f>
        <v>1936436441.0599999</v>
      </c>
      <c r="E87" s="102" t="s">
        <v>78</v>
      </c>
      <c r="F87" s="102" t="s">
        <v>78</v>
      </c>
      <c r="G87" s="102" t="s">
        <v>78</v>
      </c>
      <c r="H87" s="102" t="s">
        <v>78</v>
      </c>
      <c r="I87" s="102" t="s">
        <v>78</v>
      </c>
      <c r="J87" s="67">
        <f t="shared" si="8"/>
        <v>33.281493261797081</v>
      </c>
      <c r="K87" s="68">
        <f t="shared" si="7"/>
        <v>315.73820576698188</v>
      </c>
    </row>
    <row r="88" spans="2:11" ht="35.25" customHeight="1" x14ac:dyDescent="0.2">
      <c r="B88" s="117" t="s">
        <v>72</v>
      </c>
      <c r="C88" s="66">
        <f>781464566.82</f>
        <v>781464566.82000005</v>
      </c>
      <c r="D88" s="56">
        <f>932063303.04</f>
        <v>932063303.03999996</v>
      </c>
      <c r="E88" s="102" t="s">
        <v>78</v>
      </c>
      <c r="F88" s="102" t="s">
        <v>78</v>
      </c>
      <c r="G88" s="102" t="s">
        <v>78</v>
      </c>
      <c r="H88" s="102" t="s">
        <v>78</v>
      </c>
      <c r="I88" s="102" t="s">
        <v>78</v>
      </c>
      <c r="J88" s="67">
        <f t="shared" si="8"/>
        <v>16.019352808044438</v>
      </c>
      <c r="K88" s="68">
        <f t="shared" si="7"/>
        <v>119.27134544728352</v>
      </c>
    </row>
    <row r="89" spans="2:11" ht="12.95" customHeight="1" x14ac:dyDescent="0.2">
      <c r="B89" s="117" t="s">
        <v>65</v>
      </c>
      <c r="C89" s="66">
        <f>0</f>
        <v>0</v>
      </c>
      <c r="D89" s="56">
        <f>0</f>
        <v>0</v>
      </c>
      <c r="E89" s="102" t="s">
        <v>78</v>
      </c>
      <c r="F89" s="102" t="s">
        <v>78</v>
      </c>
      <c r="G89" s="102" t="s">
        <v>78</v>
      </c>
      <c r="H89" s="102" t="s">
        <v>78</v>
      </c>
      <c r="I89" s="102" t="s">
        <v>78</v>
      </c>
      <c r="J89" s="67">
        <f t="shared" si="8"/>
        <v>0</v>
      </c>
      <c r="K89" s="68" t="str">
        <f t="shared" si="7"/>
        <v/>
      </c>
    </row>
    <row r="90" spans="2:11" ht="33.75" x14ac:dyDescent="0.2">
      <c r="B90" s="117" t="s">
        <v>66</v>
      </c>
      <c r="C90" s="66">
        <f>1295000795.42</f>
        <v>1295000795.4200001</v>
      </c>
      <c r="D90" s="56">
        <f>2814762751.14</f>
        <v>2814762751.1399999</v>
      </c>
      <c r="E90" s="102" t="s">
        <v>78</v>
      </c>
      <c r="F90" s="102" t="s">
        <v>78</v>
      </c>
      <c r="G90" s="102" t="s">
        <v>78</v>
      </c>
      <c r="H90" s="102" t="s">
        <v>78</v>
      </c>
      <c r="I90" s="102" t="s">
        <v>78</v>
      </c>
      <c r="J90" s="67">
        <f t="shared" si="8"/>
        <v>48.377269477713106</v>
      </c>
      <c r="K90" s="68">
        <f t="shared" si="7"/>
        <v>217.35606349393046</v>
      </c>
    </row>
    <row r="91" spans="2:11" ht="56.25" x14ac:dyDescent="0.2">
      <c r="B91" s="117" t="s">
        <v>93</v>
      </c>
      <c r="C91" s="66">
        <f>0</f>
        <v>0</v>
      </c>
      <c r="D91" s="56">
        <f>0</f>
        <v>0</v>
      </c>
      <c r="E91" s="102" t="s">
        <v>78</v>
      </c>
      <c r="F91" s="102" t="s">
        <v>78</v>
      </c>
      <c r="G91" s="102" t="s">
        <v>78</v>
      </c>
      <c r="H91" s="102" t="s">
        <v>78</v>
      </c>
      <c r="I91" s="102" t="s">
        <v>78</v>
      </c>
      <c r="J91" s="67">
        <f t="shared" si="8"/>
        <v>0</v>
      </c>
      <c r="K91" s="68" t="str">
        <f>IF(C91=0,"",100*D91/C91)</f>
        <v/>
      </c>
    </row>
    <row r="92" spans="2:11" x14ac:dyDescent="0.2">
      <c r="B92" s="117" t="s">
        <v>89</v>
      </c>
      <c r="C92" s="66">
        <f>115542032.1</f>
        <v>115542032.09999999</v>
      </c>
      <c r="D92" s="56">
        <f>131361055.4</f>
        <v>131361055.40000001</v>
      </c>
      <c r="E92" s="102" t="s">
        <v>78</v>
      </c>
      <c r="F92" s="102" t="s">
        <v>78</v>
      </c>
      <c r="G92" s="102" t="s">
        <v>78</v>
      </c>
      <c r="H92" s="102" t="s">
        <v>78</v>
      </c>
      <c r="I92" s="102" t="s">
        <v>78</v>
      </c>
      <c r="J92" s="67">
        <f t="shared" si="8"/>
        <v>2.2576997558280256</v>
      </c>
      <c r="K92" s="68">
        <f>IF(C92=0,"",100*D92/C92)</f>
        <v>113.69114166722363</v>
      </c>
    </row>
    <row r="93" spans="2:11" ht="23.25" customHeight="1" x14ac:dyDescent="0.2">
      <c r="B93" s="119" t="s">
        <v>90</v>
      </c>
      <c r="C93" s="66">
        <f>115542032.1</f>
        <v>115542032.09999999</v>
      </c>
      <c r="D93" s="56">
        <f>131361055.4</f>
        <v>131361055.40000001</v>
      </c>
      <c r="E93" s="102" t="s">
        <v>78</v>
      </c>
      <c r="F93" s="102" t="s">
        <v>78</v>
      </c>
      <c r="G93" s="102" t="s">
        <v>78</v>
      </c>
      <c r="H93" s="102" t="s">
        <v>78</v>
      </c>
      <c r="I93" s="102" t="s">
        <v>78</v>
      </c>
      <c r="J93" s="67">
        <f t="shared" si="8"/>
        <v>2.2576997558280256</v>
      </c>
      <c r="K93" s="68">
        <f>IF(C93=0,"",100*D93/C93)</f>
        <v>113.69114166722363</v>
      </c>
    </row>
    <row r="94" spans="2:11" ht="26.85" customHeight="1" x14ac:dyDescent="0.2">
      <c r="B94" s="104" t="s">
        <v>40</v>
      </c>
      <c r="C94" s="51">
        <f>924867505.86</f>
        <v>924867505.86000001</v>
      </c>
      <c r="D94" s="72">
        <f>532607490.82</f>
        <v>532607490.81999999</v>
      </c>
      <c r="E94" s="102" t="s">
        <v>78</v>
      </c>
      <c r="F94" s="102" t="s">
        <v>78</v>
      </c>
      <c r="G94" s="102" t="s">
        <v>78</v>
      </c>
      <c r="H94" s="102" t="s">
        <v>78</v>
      </c>
      <c r="I94" s="102" t="s">
        <v>78</v>
      </c>
      <c r="J94" s="45">
        <f t="shared" ref="J94:J99" si="9">IF($D$94=0,"",100*$D94/$D$94)</f>
        <v>100</v>
      </c>
      <c r="K94" s="39">
        <f t="shared" si="7"/>
        <v>57.587436843156041</v>
      </c>
    </row>
    <row r="95" spans="2:11" ht="33.75" x14ac:dyDescent="0.2">
      <c r="B95" s="118" t="s">
        <v>94</v>
      </c>
      <c r="C95" s="46">
        <f>791338155.21</f>
        <v>791338155.21000004</v>
      </c>
      <c r="D95" s="99">
        <f>211186595.95</f>
        <v>211186595.94999999</v>
      </c>
      <c r="E95" s="102" t="s">
        <v>78</v>
      </c>
      <c r="F95" s="102" t="s">
        <v>78</v>
      </c>
      <c r="G95" s="102" t="s">
        <v>78</v>
      </c>
      <c r="H95" s="102" t="s">
        <v>78</v>
      </c>
      <c r="I95" s="102" t="s">
        <v>78</v>
      </c>
      <c r="J95" s="47">
        <f t="shared" si="9"/>
        <v>39.651450569134525</v>
      </c>
      <c r="K95" s="48">
        <f t="shared" si="7"/>
        <v>26.687275794752587</v>
      </c>
    </row>
    <row r="96" spans="2:11" ht="12.95" customHeight="1" x14ac:dyDescent="0.2">
      <c r="B96" s="119" t="s">
        <v>67</v>
      </c>
      <c r="C96" s="66">
        <f>34140000</f>
        <v>34140000</v>
      </c>
      <c r="D96" s="56">
        <f>1000000</f>
        <v>1000000</v>
      </c>
      <c r="E96" s="102" t="s">
        <v>78</v>
      </c>
      <c r="F96" s="102" t="s">
        <v>78</v>
      </c>
      <c r="G96" s="102" t="s">
        <v>78</v>
      </c>
      <c r="H96" s="102" t="s">
        <v>78</v>
      </c>
      <c r="I96" s="102" t="s">
        <v>78</v>
      </c>
      <c r="J96" s="67">
        <f t="shared" si="9"/>
        <v>0.18775552676895413</v>
      </c>
      <c r="K96" s="68">
        <f t="shared" si="7"/>
        <v>2.9291154071470418</v>
      </c>
    </row>
    <row r="97" spans="2:11" ht="12.95" customHeight="1" x14ac:dyDescent="0.2">
      <c r="B97" s="117" t="s">
        <v>76</v>
      </c>
      <c r="C97" s="66">
        <f>97292251.62</f>
        <v>97292251.620000005</v>
      </c>
      <c r="D97" s="56">
        <f>58056296.78</f>
        <v>58056296.780000001</v>
      </c>
      <c r="E97" s="102" t="s">
        <v>78</v>
      </c>
      <c r="F97" s="102" t="s">
        <v>78</v>
      </c>
      <c r="G97" s="102" t="s">
        <v>78</v>
      </c>
      <c r="H97" s="102" t="s">
        <v>78</v>
      </c>
      <c r="I97" s="102" t="s">
        <v>78</v>
      </c>
      <c r="J97" s="67">
        <f t="shared" si="9"/>
        <v>10.900390584183636</v>
      </c>
      <c r="K97" s="68">
        <f t="shared" si="7"/>
        <v>59.672066185449019</v>
      </c>
    </row>
    <row r="98" spans="2:11" ht="12.95" customHeight="1" x14ac:dyDescent="0.2">
      <c r="B98" s="117" t="s">
        <v>91</v>
      </c>
      <c r="C98" s="66">
        <f>36237099.03</f>
        <v>36237099.030000001</v>
      </c>
      <c r="D98" s="56">
        <f>263364598.09</f>
        <v>263364598.09</v>
      </c>
      <c r="E98" s="102" t="s">
        <v>78</v>
      </c>
      <c r="F98" s="102" t="s">
        <v>78</v>
      </c>
      <c r="G98" s="102" t="s">
        <v>78</v>
      </c>
      <c r="H98" s="102" t="s">
        <v>78</v>
      </c>
      <c r="I98" s="102" t="s">
        <v>78</v>
      </c>
      <c r="J98" s="67">
        <f t="shared" si="9"/>
        <v>49.448158846681842</v>
      </c>
      <c r="K98" s="68">
        <f>IF(C98=0,"",100*D98/C98)</f>
        <v>726.7816826947585</v>
      </c>
    </row>
    <row r="99" spans="2:11" ht="22.5" x14ac:dyDescent="0.2">
      <c r="B99" s="119" t="s">
        <v>92</v>
      </c>
      <c r="C99" s="66">
        <f>10317616.35</f>
        <v>10317616.35</v>
      </c>
      <c r="D99" s="56">
        <f>0</f>
        <v>0</v>
      </c>
      <c r="E99" s="102" t="s">
        <v>78</v>
      </c>
      <c r="F99" s="102" t="s">
        <v>78</v>
      </c>
      <c r="G99" s="102" t="s">
        <v>78</v>
      </c>
      <c r="H99" s="102" t="s">
        <v>78</v>
      </c>
      <c r="I99" s="102" t="s">
        <v>78</v>
      </c>
      <c r="J99" s="67">
        <f t="shared" si="9"/>
        <v>0</v>
      </c>
      <c r="K99" s="68">
        <f>IF(C99=0,"",100*D99/C99)</f>
        <v>0</v>
      </c>
    </row>
    <row r="100" spans="2:11" x14ac:dyDescent="0.2">
      <c r="B100" s="25"/>
    </row>
    <row r="101" spans="2:11" x14ac:dyDescent="0.2">
      <c r="B101" s="52" t="s">
        <v>16</v>
      </c>
      <c r="C101" s="79" t="s">
        <v>17</v>
      </c>
      <c r="D101" s="18" t="s">
        <v>1</v>
      </c>
    </row>
    <row r="102" spans="2:11" x14ac:dyDescent="0.2">
      <c r="B102" s="52"/>
      <c r="C102" s="137" t="s">
        <v>52</v>
      </c>
      <c r="D102" s="137"/>
    </row>
    <row r="103" spans="2:11" x14ac:dyDescent="0.2">
      <c r="B103" s="26">
        <v>1</v>
      </c>
      <c r="C103" s="27">
        <v>2</v>
      </c>
      <c r="D103" s="27">
        <v>3</v>
      </c>
    </row>
    <row r="104" spans="2:11" ht="36" customHeight="1" x14ac:dyDescent="0.2">
      <c r="B104" s="53" t="s">
        <v>95</v>
      </c>
      <c r="C104" s="49">
        <f>3437564309.14</f>
        <v>3437564309.1399999</v>
      </c>
      <c r="D104" s="96">
        <f>0</f>
        <v>0</v>
      </c>
    </row>
    <row r="105" spans="2:11" ht="35.25" customHeight="1" x14ac:dyDescent="0.2">
      <c r="B105" s="120" t="s">
        <v>54</v>
      </c>
      <c r="C105" s="66">
        <f>87050000</f>
        <v>87050000</v>
      </c>
      <c r="D105" s="56">
        <f>0</f>
        <v>0</v>
      </c>
    </row>
    <row r="106" spans="2:11" ht="12.95" customHeight="1" x14ac:dyDescent="0.2">
      <c r="B106" s="120" t="s">
        <v>55</v>
      </c>
      <c r="C106" s="66">
        <f>1020245439.28</f>
        <v>1020245439.28</v>
      </c>
      <c r="D106" s="56">
        <f>0</f>
        <v>0</v>
      </c>
    </row>
    <row r="107" spans="2:11" ht="24" customHeight="1" x14ac:dyDescent="0.2">
      <c r="B107" s="120" t="s">
        <v>56</v>
      </c>
      <c r="C107" s="66">
        <f>0</f>
        <v>0</v>
      </c>
      <c r="D107" s="56">
        <f>0</f>
        <v>0</v>
      </c>
    </row>
    <row r="108" spans="2:11" ht="57.75" customHeight="1" x14ac:dyDescent="0.2">
      <c r="B108" s="120" t="s">
        <v>73</v>
      </c>
      <c r="C108" s="66">
        <f>540236530.32</f>
        <v>540236530.32000005</v>
      </c>
      <c r="D108" s="56">
        <f>0</f>
        <v>0</v>
      </c>
    </row>
    <row r="109" spans="2:11" ht="81" customHeight="1" x14ac:dyDescent="0.2">
      <c r="B109" s="120" t="s">
        <v>57</v>
      </c>
      <c r="C109" s="66">
        <f>928681377.66</f>
        <v>928681377.65999997</v>
      </c>
      <c r="D109" s="56">
        <f>0</f>
        <v>0</v>
      </c>
    </row>
    <row r="110" spans="2:11" ht="149.25" customHeight="1" x14ac:dyDescent="0.2">
      <c r="B110" s="120" t="s">
        <v>74</v>
      </c>
      <c r="C110" s="66">
        <f>738745934.25</f>
        <v>738745934.25</v>
      </c>
      <c r="D110" s="56">
        <f>0</f>
        <v>0</v>
      </c>
    </row>
    <row r="111" spans="2:11" ht="25.5" customHeight="1" x14ac:dyDescent="0.2">
      <c r="B111" s="120" t="s">
        <v>75</v>
      </c>
      <c r="C111" s="66">
        <f>25783505.02</f>
        <v>25783505.02</v>
      </c>
      <c r="D111" s="56">
        <f>0</f>
        <v>0</v>
      </c>
    </row>
    <row r="112" spans="2:11" ht="25.5" customHeight="1" x14ac:dyDescent="0.2">
      <c r="B112" s="128" t="s">
        <v>90</v>
      </c>
      <c r="C112" s="66">
        <f>96821522.61</f>
        <v>96821522.609999999</v>
      </c>
      <c r="D112" s="56">
        <f>0</f>
        <v>0</v>
      </c>
    </row>
    <row r="114" spans="2:4" ht="10.5" customHeight="1" x14ac:dyDescent="0.2">
      <c r="B114" s="24" t="s">
        <v>41</v>
      </c>
      <c r="C114" s="24">
        <f>1</f>
        <v>1</v>
      </c>
      <c r="D114" s="24" t="str">
        <f>IF(C114=1,"I Kwartał",IF(C114=2,"II Kwartały",IF(C114=3,"III Kwartały",IF(C114=4,"IV Kwartały",IF(C114="M1","Styczeń",IF(C114="M11","Listopad",IF(C114="M12","Grudzień","-")))))))</f>
        <v>I Kwartał</v>
      </c>
    </row>
    <row r="115" spans="2:4" ht="10.5" customHeight="1" x14ac:dyDescent="0.2">
      <c r="B115" s="24" t="s">
        <v>42</v>
      </c>
      <c r="C115" s="100">
        <f>2025</f>
        <v>2025</v>
      </c>
      <c r="D115" s="25"/>
    </row>
    <row r="116" spans="2:4" ht="12" customHeight="1" x14ac:dyDescent="0.2">
      <c r="B116" s="24" t="s">
        <v>43</v>
      </c>
      <c r="C116" s="142" t="str">
        <f>"May 17 2025 12:00AM"</f>
        <v>May 17 2025 12:00AM</v>
      </c>
      <c r="D116" s="143"/>
    </row>
    <row r="117" spans="2:4" ht="9.75" hidden="1" customHeight="1" x14ac:dyDescent="0.2">
      <c r="B117" s="24" t="s">
        <v>47</v>
      </c>
      <c r="C117" s="101" t="str">
        <f>""</f>
        <v/>
      </c>
      <c r="D117" s="25"/>
    </row>
  </sheetData>
  <mergeCells count="28">
    <mergeCell ref="B69:B70"/>
    <mergeCell ref="C69:D69"/>
    <mergeCell ref="E69:F69"/>
    <mergeCell ref="J3:L3"/>
    <mergeCell ref="E3:I4"/>
    <mergeCell ref="B64:B65"/>
    <mergeCell ref="C64:D64"/>
    <mergeCell ref="E64:F64"/>
    <mergeCell ref="B2:B3"/>
    <mergeCell ref="C45:C47"/>
    <mergeCell ref="B45:B48"/>
    <mergeCell ref="I45:I47"/>
    <mergeCell ref="C48:I48"/>
    <mergeCell ref="C3:D3"/>
    <mergeCell ref="C116:D116"/>
    <mergeCell ref="E80:I82"/>
    <mergeCell ref="F45:H45"/>
    <mergeCell ref="G46:H46"/>
    <mergeCell ref="C81:D81"/>
    <mergeCell ref="C102:D102"/>
    <mergeCell ref="J81:K81"/>
    <mergeCell ref="D45:D47"/>
    <mergeCell ref="E45:E47"/>
    <mergeCell ref="F46:F47"/>
    <mergeCell ref="I60:J60"/>
    <mergeCell ref="K45:K47"/>
    <mergeCell ref="J45:J47"/>
    <mergeCell ref="J48:K48"/>
  </mergeCells>
  <phoneticPr fontId="0" type="noConversion"/>
  <pageMargins left="0.19685039370078741" right="0.19685039370078741" top="0.35433070866141736" bottom="0.39370078740157483" header="0.31496062992125984" footer="0.19685039370078741"/>
  <pageSetup paperSize="9" scale="85" orientation="landscape" useFirstPageNumber="1" r:id="rId1"/>
  <headerFooter alignWithMargins="0">
    <oddFooter>&amp;RStrona &amp;P z &amp;N</oddFooter>
  </headerFooter>
  <rowBreaks count="4" manualBreakCount="4">
    <brk id="34" min="1" max="11" man="1"/>
    <brk id="42" max="16383" man="1"/>
    <brk id="78" max="16383" man="1"/>
    <brk id="100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doch_wyd</vt:lpstr>
      <vt:lpstr>doch_wyd!Obszar_wydruku</vt:lpstr>
    </vt:vector>
  </TitlesOfParts>
  <Company>Min. Fin.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Alina Karolak</dc:creator>
  <cp:lastModifiedBy>Kołacz Bernard</cp:lastModifiedBy>
  <cp:lastPrinted>2025-02-07T10:19:37Z</cp:lastPrinted>
  <dcterms:created xsi:type="dcterms:W3CDTF">2001-05-17T08:58:03Z</dcterms:created>
  <dcterms:modified xsi:type="dcterms:W3CDTF">2025-05-21T12:01:39Z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InformacjePubliczneInformacjeSektoraPublicznego</vt:lpwstr>
  </property>
  <property fmtid="{D5CDD505-2E9C-101B-9397-08002B2CF9AE}" pid="3" name="MFClassifiedBy">
    <vt:lpwstr>UxC4dwLulzfINJ8nQH+xvX5LNGipWa4BRSZhPgxsCvk7M1oCNyvPTX/IYTk7NheEi2D6He/Paz9ay8OzXVpSqA==</vt:lpwstr>
  </property>
  <property fmtid="{D5CDD505-2E9C-101B-9397-08002B2CF9AE}" pid="4" name="MFClassificationDate">
    <vt:lpwstr>2022-06-01T15:12:20.5504483+02:00</vt:lpwstr>
  </property>
  <property fmtid="{D5CDD505-2E9C-101B-9397-08002B2CF9AE}" pid="5" name="MFClassifiedBySID">
    <vt:lpwstr>UxC4dwLulzfINJ8nQH+xvX5LNGipWa4BRSZhPgxsCvm42mrIC/DSDv0ggS+FjUN/2v1BBotkLlY5aAiEhoi6uT6l/lYoTwrNwDVvKCDJdoy+W2nzAk+kqrZcOJSg0aUa</vt:lpwstr>
  </property>
  <property fmtid="{D5CDD505-2E9C-101B-9397-08002B2CF9AE}" pid="6" name="MFGRNItemId">
    <vt:lpwstr>GRN-bdb4f178-0504-4a7c-baaa-5bdd997b4a6c</vt:lpwstr>
  </property>
  <property fmtid="{D5CDD505-2E9C-101B-9397-08002B2CF9AE}" pid="7" name="MFHash">
    <vt:lpwstr>cvgFc3qUTZFJKNGd/QdKw5m28phCkq0fuCyZvwRduGg=</vt:lpwstr>
  </property>
  <property fmtid="{D5CDD505-2E9C-101B-9397-08002B2CF9AE}" pid="8" name="MFVisualMarkingsSettings">
    <vt:lpwstr>HeaderAlignment=1;FooterAlignment=1</vt:lpwstr>
  </property>
  <property fmtid="{D5CDD505-2E9C-101B-9397-08002B2CF9AE}" pid="9" name="DLPManualFileClassification">
    <vt:lpwstr>{2755b7d9-e53d-4779-a40c-03797dcf43b3}</vt:lpwstr>
  </property>
  <property fmtid="{D5CDD505-2E9C-101B-9397-08002B2CF9AE}" pid="10" name="MFRefresh">
    <vt:lpwstr>False</vt:lpwstr>
  </property>
</Properties>
</file>