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<sst xmlns="http://schemas.openxmlformats.org/spreadsheetml/2006/main" count="119" uniqueCount="97">
  <si>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</si>
  <si>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</si>
  <si>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</si>
  <si>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</si>
  <si>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</si>
  <si>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</si>
  <si>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</si>
  <si>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</si>
  <si>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</si>
  <si>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</si>
  <si>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</si>
  <si>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</si>
  <si>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</si>
  <si>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</si>
  <si>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</si>
  <si>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</si>
  <si>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</si>
  <si>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</si>
  <si>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</si>
  <si>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</si>
  <si>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</si>
  <si>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</si>
  <si>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</si>
  <si>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</si>
  <si>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</si>
  <si>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</si>
  <si>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</si>
  <si>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</si>
  <si>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</si>
  <si>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</si>
  <si>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</si>
  <si>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t>uzupełnienie subwencji ogólnej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</si>
  <si>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</si>
  <si>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</si>
  <si>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</si>
  <si>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</si>
  <si>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</si>
  <si>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</si>
  <si>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</si>
  <si>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</si>
  <si>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</si>
  <si>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</si>
  <si>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</si>
  <si>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część regionalna</t>
  </si>
  <si>
    <t>Razem dochody własne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</si>
  <si>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</si>
  <si>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</si>
  <si>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</si>
  <si>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</si>
  <si>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</si>
  <si>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</si>
  <si>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świadczenia na rzecz osób fizycznych</t>
  </si>
  <si>
    <t>Dotacje §§ 200 i 620</t>
  </si>
  <si>
    <t>w tym: inwestycyjne § 620</t>
  </si>
  <si>
    <t>majątkowe</t>
  </si>
  <si>
    <t>bieżace</t>
  </si>
  <si>
    <t>UE</t>
  </si>
  <si>
    <t>wydatki majątkowe</t>
  </si>
  <si>
    <t>wydatki bieżące</t>
  </si>
  <si>
    <t>w złotych</t>
  </si>
  <si>
    <t xml:space="preserve">Dochody Ogółem 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</si>
  <si>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</si>
  <si>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</si>
  <si>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</si>
  <si>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</si>
  <si>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</si>
  <si>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</si>
  <si>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</si>
  <si>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</si>
  <si>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</si>
  <si>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</si>
  <si>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</si>
  <si>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</si>
  <si>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</si>
  <si>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</si>
  <si>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</si>
  <si>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t>Dotacje §§ 205 i 625</t>
  </si>
  <si>
    <t>w tym: inwestycyjne § 625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</si>
  <si>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</si>
  <si>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Dochody bieżace            minus                                                  wydatki bieżące</t>
  </si>
  <si>
    <t>Wydatki Ogółem UE                                         z tego:</t>
  </si>
  <si>
    <t>Dotacje ogółem       z tego:</t>
  </si>
  <si>
    <t>Dotacje celowe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</si>
  <si>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</si>
  <si>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</si>
  <si>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</si>
  <si>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</si>
  <si>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</si>
  <si>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</si>
  <si>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</si>
  <si>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 xml:space="preserve"> udzielone pożyczki</t>
  </si>
  <si>
    <t>wolne środki, o których mowa w art. 217 ust. 2 pkt 6 ustawy o finansach publicznych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</si>
  <si>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</si>
  <si>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</si>
  <si>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</si>
  <si>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>wydatki na wynagrodzenia i pochodne od wynagrodzeń</t>
  </si>
  <si>
    <t xml:space="preserve">Informacja z wykonania budżetów województw za III Kwartały 2019 rok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</si>
</sst>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0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0" fillId="42" borderId="3" applyNumberFormat="0" applyAlignment="0" applyProtection="0"/>
    <xf numFmtId="0" fontId="41" fillId="43" borderId="4" applyNumberFormat="0" applyAlignment="0" applyProtection="0"/>
    <xf numFmtId="0" fontId="42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3" fillId="0" borderId="8" applyNumberFormat="0" applyFill="0" applyAlignment="0" applyProtection="0"/>
    <xf numFmtId="0" fontId="44" fillId="46" borderId="9" applyNumberFormat="0" applyAlignment="0" applyProtection="0"/>
    <xf numFmtId="0" fontId="26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48" fillId="47" borderId="0" applyNumberFormat="0" applyBorder="0" applyAlignment="0" applyProtection="0"/>
    <xf numFmtId="0" fontId="38" fillId="0" borderId="0">
      <alignment/>
      <protection/>
    </xf>
    <xf numFmtId="0" fontId="0" fillId="4" borderId="14" applyNumberFormat="0" applyFont="0" applyAlignment="0" applyProtection="0"/>
    <xf numFmtId="0" fontId="49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4" fillId="49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4" fontId="5" fillId="0" borderId="19" xfId="0" applyNumberFormat="1" applyFont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13" fillId="40" borderId="19" xfId="0" applyNumberFormat="1" applyFont="1" applyFill="1" applyBorder="1" applyAlignment="1">
      <alignment horizontal="right" vertical="center"/>
    </xf>
    <xf numFmtId="4" fontId="5" fillId="40" borderId="19" xfId="0" applyNumberFormat="1" applyFont="1" applyFill="1" applyBorder="1" applyAlignment="1">
      <alignment horizontal="right" vertical="center" wrapText="1"/>
    </xf>
    <xf numFmtId="4" fontId="13" fillId="40" borderId="19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5" fillId="0" borderId="19" xfId="0" applyFont="1" applyBorder="1" applyAlignment="1">
      <alignment horizontal="left" vertical="center" wrapText="1" indent="2"/>
    </xf>
    <xf numFmtId="0" fontId="5" fillId="0" borderId="19" xfId="0" applyFont="1" applyFill="1" applyBorder="1" applyAlignment="1">
      <alignment horizontal="left" vertical="center" wrapText="1" indent="1"/>
    </xf>
    <xf numFmtId="164" fontId="13" fillId="40" borderId="19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164" fontId="12" fillId="4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164" fontId="12" fillId="40" borderId="19" xfId="71" applyNumberFormat="1" applyFont="1" applyFill="1" applyBorder="1" applyAlignment="1">
      <alignment horizontal="right" vertical="center"/>
    </xf>
    <xf numFmtId="4" fontId="12" fillId="40" borderId="20" xfId="0" applyNumberFormat="1" applyFont="1" applyFill="1" applyBorder="1" applyAlignment="1">
      <alignment horizontal="right" vertical="center"/>
    </xf>
    <xf numFmtId="4" fontId="12" fillId="40" borderId="21" xfId="0" applyNumberFormat="1" applyFont="1" applyFill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7" fillId="40" borderId="21" xfId="0" applyNumberFormat="1" applyFont="1" applyFill="1" applyBorder="1" applyAlignment="1">
      <alignment horizontal="right" vertical="center"/>
    </xf>
    <xf numFmtId="0" fontId="55" fillId="0" borderId="19" xfId="89" applyFont="1" applyBorder="1" applyAlignment="1">
      <alignment horizontal="left" vertical="center" wrapText="1"/>
      <protection/>
    </xf>
    <xf numFmtId="4" fontId="7" fillId="40" borderId="20" xfId="0" applyNumberFormat="1" applyFont="1" applyFill="1" applyBorder="1" applyAlignment="1">
      <alignment horizontal="right" vertical="center"/>
    </xf>
    <xf numFmtId="4" fontId="7" fillId="50" borderId="21" xfId="0" applyNumberFormat="1" applyFont="1" applyFill="1" applyBorder="1" applyAlignment="1">
      <alignment horizontal="right" vertical="center"/>
    </xf>
    <xf numFmtId="4" fontId="7" fillId="50" borderId="20" xfId="0" applyNumberFormat="1" applyFont="1" applyFill="1" applyBorder="1" applyAlignment="1">
      <alignment horizontal="right" vertical="center"/>
    </xf>
    <xf numFmtId="4" fontId="12" fillId="51" borderId="20" xfId="0" applyNumberFormat="1" applyFont="1" applyFill="1" applyBorder="1" applyAlignment="1">
      <alignment horizontal="right" vertical="center"/>
    </xf>
    <xf numFmtId="4" fontId="12" fillId="51" borderId="21" xfId="0" applyNumberFormat="1" applyFont="1" applyFill="1" applyBorder="1" applyAlignment="1">
      <alignment horizontal="right" vertical="center"/>
    </xf>
    <xf numFmtId="0" fontId="55" fillId="51" borderId="19" xfId="89" applyFont="1" applyFill="1" applyBorder="1" applyAlignment="1">
      <alignment horizontal="left" vertical="center" wrapText="1"/>
      <protection/>
    </xf>
    <xf numFmtId="164" fontId="12" fillId="50" borderId="19" xfId="71" applyNumberFormat="1" applyFont="1" applyFill="1" applyBorder="1" applyAlignment="1">
      <alignment horizontal="right" vertical="center"/>
    </xf>
    <xf numFmtId="164" fontId="12" fillId="50" borderId="19" xfId="0" applyNumberFormat="1" applyFont="1" applyFill="1" applyBorder="1" applyAlignment="1">
      <alignment horizontal="right" vertical="center"/>
    </xf>
    <xf numFmtId="164" fontId="12" fillId="51" borderId="19" xfId="0" applyNumberFormat="1" applyFont="1" applyFill="1" applyBorder="1" applyAlignment="1">
      <alignment horizontal="right" vertical="center"/>
    </xf>
    <xf numFmtId="0" fontId="13" fillId="40" borderId="1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top" wrapText="1"/>
    </xf>
    <xf numFmtId="3" fontId="5" fillId="0" borderId="19" xfId="0" applyNumberFormat="1" applyFont="1" applyBorder="1" applyAlignment="1">
      <alignment horizontal="right" vertical="center"/>
    </xf>
    <xf numFmtId="164" fontId="7" fillId="0" borderId="19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0" fontId="7" fillId="2" borderId="20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12" fillId="40" borderId="19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3" fillId="51" borderId="19" xfId="0" applyFont="1" applyFill="1" applyBorder="1" applyAlignment="1">
      <alignment horizontal="left" vertical="center" wrapText="1"/>
    </xf>
    <xf numFmtId="4" fontId="13" fillId="51" borderId="19" xfId="0" applyNumberFormat="1" applyFont="1" applyFill="1" applyBorder="1" applyAlignment="1">
      <alignment horizontal="right" vertical="center"/>
    </xf>
    <xf numFmtId="164" fontId="13" fillId="51" borderId="19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4" fontId="5" fillId="51" borderId="19" xfId="0" applyNumberFormat="1" applyFont="1" applyFill="1" applyBorder="1" applyAlignment="1">
      <alignment horizontal="right" vertical="center"/>
    </xf>
    <xf numFmtId="164" fontId="5" fillId="51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2"/>
    </xf>
    <xf numFmtId="0" fontId="13" fillId="51" borderId="19" xfId="0" applyFont="1" applyFill="1" applyBorder="1" applyAlignment="1">
      <alignment horizontal="left" vertical="center" wrapText="1" indent="1"/>
    </xf>
    <xf numFmtId="4" fontId="12" fillId="51" borderId="19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 wrapText="1"/>
    </xf>
    <xf numFmtId="164" fontId="7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/>
    </xf>
    <xf numFmtId="0" fontId="13" fillId="51" borderId="2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 indent="1"/>
    </xf>
    <xf numFmtId="4" fontId="7" fillId="0" borderId="20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164" fontId="12" fillId="0" borderId="19" xfId="71" applyNumberFormat="1" applyFont="1" applyFill="1" applyBorder="1" applyAlignment="1">
      <alignment horizontal="right" vertical="center"/>
    </xf>
    <xf numFmtId="164" fontId="12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 wrapText="1"/>
    </xf>
    <xf numFmtId="0" fontId="55" fillId="0" borderId="19" xfId="89" applyFont="1" applyFill="1" applyBorder="1" applyAlignment="1">
      <alignment horizontal="left" vertical="center" wrapText="1"/>
      <protection/>
    </xf>
    <xf numFmtId="4" fontId="7" fillId="40" borderId="2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164" fontId="7" fillId="0" borderId="20" xfId="0" applyNumberFormat="1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4" fontId="5" fillId="40" borderId="20" xfId="0" applyNumberFormat="1" applyFont="1" applyFill="1" applyBorder="1" applyAlignment="1">
      <alignment horizontal="right" vertical="center" wrapText="1"/>
    </xf>
    <xf numFmtId="0" fontId="32" fillId="0" borderId="21" xfId="0" applyFont="1" applyBorder="1" applyAlignment="1">
      <alignment horizontal="right" vertical="center" wrapText="1"/>
    </xf>
    <xf numFmtId="4" fontId="5" fillId="0" borderId="20" xfId="0" applyNumberFormat="1" applyFont="1" applyFill="1" applyBorder="1" applyAlignment="1">
      <alignment horizontal="right" vertical="center" wrapText="1"/>
    </xf>
    <xf numFmtId="0" fontId="32" fillId="0" borderId="21" xfId="0" applyFont="1" applyFill="1" applyBorder="1" applyAlignment="1">
      <alignment horizontal="right" vertical="center" wrapText="1"/>
    </xf>
    <xf numFmtId="4" fontId="7" fillId="0" borderId="20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Fill="1" applyBorder="1" applyAlignment="1">
      <alignment horizontal="right" vertical="center"/>
    </xf>
    <xf numFmtId="4" fontId="13" fillId="40" borderId="19" xfId="0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right" vertical="center"/>
    </xf>
    <xf numFmtId="4" fontId="5" fillId="29" borderId="19" xfId="0" applyNumberFormat="1" applyFont="1" applyFill="1" applyBorder="1" applyAlignment="1">
      <alignment horizontal="right" vertical="center"/>
    </xf>
    <xf numFmtId="4" fontId="5" fillId="40" borderId="19" xfId="0" applyNumberFormat="1" applyFont="1" applyFill="1" applyBorder="1" applyAlignment="1">
      <alignment horizontal="right" vertical="center" wrapText="1"/>
    </xf>
    <xf numFmtId="4" fontId="12" fillId="51" borderId="19" xfId="0" applyNumberFormat="1" applyFont="1" applyFill="1" applyBorder="1" applyAlignment="1">
      <alignment horizontal="right" vertical="center"/>
    </xf>
    <xf numFmtId="4" fontId="5" fillId="29" borderId="19" xfId="0" applyNumberFormat="1" applyFont="1" applyFill="1" applyBorder="1" applyAlignment="1">
      <alignment horizontal="right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01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1" hidden="1" customWidth="1"/>
    <col min="2" max="2" width="23.875" style="1" customWidth="1"/>
    <col min="3" max="5" width="14.625" style="1" customWidth="1"/>
    <col min="6" max="6" width="13.875" style="1" customWidth="1"/>
    <col min="7" max="10" width="13.00390625" style="1" customWidth="1"/>
    <col min="11" max="11" width="7.375" style="1" customWidth="1"/>
    <col min="12" max="12" width="7.25390625" style="1" customWidth="1"/>
    <col min="13" max="13" width="8.125" style="1" hidden="1" customWidth="1"/>
    <col min="14" max="16384" width="9.125" style="1" customWidth="1"/>
  </cols>
  <sheetData>
    <row r="1" spans="2:13" ht="18" customHeight="1">
      <c r="B1" s="115" t="s">
        <v>96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2:8" ht="60" customHeight="1">
      <c r="B2" s="126" t="s">
        <v>0</v>
      </c>
      <c r="C2" s="13" t="s">
        <v>28</v>
      </c>
      <c r="D2" s="13" t="s">
        <v>29</v>
      </c>
      <c r="E2" s="13" t="s">
        <v>30</v>
      </c>
      <c r="F2" s="14" t="s">
        <v>2</v>
      </c>
      <c r="G2" s="13" t="s">
        <v>18</v>
      </c>
      <c r="H2" s="13" t="s">
        <v>3</v>
      </c>
    </row>
    <row r="3" spans="2:8" ht="9.75" customHeight="1">
      <c r="B3" s="126"/>
      <c r="C3" s="119" t="s">
        <v>59</v>
      </c>
      <c r="D3" s="119"/>
      <c r="E3" s="119"/>
      <c r="F3" s="119" t="s">
        <v>4</v>
      </c>
      <c r="G3" s="119"/>
      <c r="H3" s="119"/>
    </row>
    <row r="4" spans="2:8" ht="9" customHeight="1">
      <c r="B4" s="14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</row>
    <row r="5" spans="2:13" ht="12.75">
      <c r="B5" s="71" t="s">
        <v>5</v>
      </c>
      <c r="C5" s="72">
        <f>19162983037.7</f>
        <v>19162983037.7</v>
      </c>
      <c r="D5" s="72">
        <f>13783610374.04</f>
        <v>13783610374.04</v>
      </c>
      <c r="E5" s="72">
        <f>13533312730.37</f>
        <v>13533312730.37</v>
      </c>
      <c r="F5" s="73">
        <f aca="true" t="shared" si="0" ref="F5:F33">IF($D$5=0,"",100*$D5/$D$5)</f>
        <v>100</v>
      </c>
      <c r="G5" s="73">
        <f>IF(C5=0,"",100*D5/C5)</f>
        <v>71.92831276280434</v>
      </c>
      <c r="H5" s="73"/>
      <c r="I5" s="34"/>
      <c r="J5" s="34"/>
      <c r="K5" s="34"/>
      <c r="L5" s="34"/>
      <c r="M5" s="34"/>
    </row>
    <row r="6" spans="2:13" ht="25.5" customHeight="1">
      <c r="B6" s="55" t="s">
        <v>44</v>
      </c>
      <c r="C6" s="22">
        <f>C5-C11-C29</f>
        <v>9187383743.210001</v>
      </c>
      <c r="D6" s="22">
        <f>D5-D11-D29</f>
        <v>7507379401.530001</v>
      </c>
      <c r="E6" s="22">
        <f>E5-E11-E29</f>
        <v>7412411039.010002</v>
      </c>
      <c r="F6" s="30">
        <f t="shared" si="0"/>
        <v>54.46598676112734</v>
      </c>
      <c r="G6" s="30">
        <f aca="true" t="shared" si="1" ref="G6:G36">IF(C6=0,"",100*D6/C6)</f>
        <v>81.71400707060246</v>
      </c>
      <c r="H6" s="30">
        <f>IF($D$6=0,"",100*$D6/$D$6)</f>
        <v>100.00000000000001</v>
      </c>
      <c r="I6" s="34"/>
      <c r="J6" s="34"/>
      <c r="K6" s="34"/>
      <c r="L6" s="34"/>
      <c r="M6" s="34"/>
    </row>
    <row r="7" spans="2:13" ht="22.5" customHeight="1">
      <c r="B7" s="17" t="s">
        <v>26</v>
      </c>
      <c r="C7" s="20">
        <f>6376506790</f>
        <v>6376506790</v>
      </c>
      <c r="D7" s="20">
        <f>5374587110.01</f>
        <v>5374587110.01</v>
      </c>
      <c r="E7" s="20">
        <f>5392266834.53</f>
        <v>5392266834.53</v>
      </c>
      <c r="F7" s="31">
        <f t="shared" si="0"/>
        <v>38.992593117203</v>
      </c>
      <c r="G7" s="31">
        <f t="shared" si="1"/>
        <v>84.28732669803995</v>
      </c>
      <c r="H7" s="31">
        <f>IF($D$6=0,"",100*$D7/$D$6)</f>
        <v>71.5907219090947</v>
      </c>
      <c r="I7" s="34"/>
      <c r="J7" s="34"/>
      <c r="K7" s="34"/>
      <c r="L7" s="34"/>
      <c r="M7" s="34"/>
    </row>
    <row r="8" spans="2:13" ht="22.5" customHeight="1">
      <c r="B8" s="29" t="s">
        <v>19</v>
      </c>
      <c r="C8" s="21">
        <f>1766298657</f>
        <v>1766298657</v>
      </c>
      <c r="D8" s="21">
        <f>1305183267</f>
        <v>1305183267</v>
      </c>
      <c r="E8" s="21">
        <f>1192565740</f>
        <v>1192565740</v>
      </c>
      <c r="F8" s="31">
        <f t="shared" si="0"/>
        <v>9.469095770859695</v>
      </c>
      <c r="G8" s="31">
        <f t="shared" si="1"/>
        <v>73.89369073160088</v>
      </c>
      <c r="H8" s="31">
        <f>IF($D$6=0,"",100*$D8/$D$6)</f>
        <v>17.3853377749099</v>
      </c>
      <c r="I8" s="34"/>
      <c r="J8" s="34"/>
      <c r="K8" s="34"/>
      <c r="L8" s="34"/>
      <c r="M8" s="34"/>
    </row>
    <row r="9" spans="2:13" ht="12.75">
      <c r="B9" s="29" t="s">
        <v>20</v>
      </c>
      <c r="C9" s="21">
        <f>249446690.49</f>
        <v>249446690.49</v>
      </c>
      <c r="D9" s="74">
        <f>113359579.95</f>
        <v>113359579.95</v>
      </c>
      <c r="E9" s="21">
        <f>113359579.95</f>
        <v>113359579.95</v>
      </c>
      <c r="F9" s="31">
        <f t="shared" si="0"/>
        <v>0.8224229855154713</v>
      </c>
      <c r="G9" s="31">
        <f t="shared" si="1"/>
        <v>45.444411279749744</v>
      </c>
      <c r="H9" s="31">
        <f>IF($D$6=0,"",100*$D9/$D$6)</f>
        <v>1.509975370725201</v>
      </c>
      <c r="I9" s="34"/>
      <c r="J9" s="34"/>
      <c r="K9" s="34"/>
      <c r="L9" s="34"/>
      <c r="M9" s="34"/>
    </row>
    <row r="10" spans="2:13" ht="12.75">
      <c r="B10" s="29" t="s">
        <v>21</v>
      </c>
      <c r="C10" s="21">
        <f>C6-C7-C8-C9</f>
        <v>795131605.720001</v>
      </c>
      <c r="D10" s="21">
        <f>D6-D7-D8-D9</f>
        <v>714249444.5700004</v>
      </c>
      <c r="E10" s="21">
        <f>E6-E7-E8-E9</f>
        <v>714218884.5300024</v>
      </c>
      <c r="F10" s="31">
        <f t="shared" si="0"/>
        <v>5.181874887549166</v>
      </c>
      <c r="G10" s="31">
        <f t="shared" si="1"/>
        <v>89.82782717123152</v>
      </c>
      <c r="H10" s="31">
        <f>IF($D$6=0,"",100*$D10/$D$6)</f>
        <v>9.513964945270207</v>
      </c>
      <c r="I10" s="34"/>
      <c r="J10" s="34"/>
      <c r="K10" s="34"/>
      <c r="L10" s="34"/>
      <c r="M10" s="34"/>
    </row>
    <row r="11" spans="2:13" ht="12.75">
      <c r="B11" s="71" t="s">
        <v>81</v>
      </c>
      <c r="C11" s="72">
        <f>C12+C25+C27</f>
        <v>7442799826.49</v>
      </c>
      <c r="D11" s="72">
        <f>D12+D25+D27</f>
        <v>4327259388.51</v>
      </c>
      <c r="E11" s="72">
        <f>E12+E25+E27</f>
        <v>4217062659.3599997</v>
      </c>
      <c r="F11" s="73">
        <f t="shared" si="0"/>
        <v>31.394237584224985</v>
      </c>
      <c r="G11" s="73">
        <f t="shared" si="1"/>
        <v>58.140209187255834</v>
      </c>
      <c r="H11" s="75"/>
      <c r="I11" s="34"/>
      <c r="J11" s="34"/>
      <c r="K11" s="34"/>
      <c r="L11" s="34"/>
      <c r="M11" s="34"/>
    </row>
    <row r="12" spans="2:13" ht="12.75">
      <c r="B12" s="71" t="s">
        <v>82</v>
      </c>
      <c r="C12" s="72">
        <f>C13+C15+C17+C19+C21+C23</f>
        <v>1493283741.82</v>
      </c>
      <c r="D12" s="72">
        <f>D13+D15+D17+D19+D21+D23</f>
        <v>911115462.8799999</v>
      </c>
      <c r="E12" s="72">
        <f>E13+E15+E17+E19+E21+E23</f>
        <v>910296828.2799999</v>
      </c>
      <c r="F12" s="73">
        <f t="shared" si="0"/>
        <v>6.610136518339138</v>
      </c>
      <c r="G12" s="73">
        <f t="shared" si="1"/>
        <v>61.01422237206849</v>
      </c>
      <c r="H12" s="26"/>
      <c r="I12" s="34"/>
      <c r="J12" s="34"/>
      <c r="K12" s="34"/>
      <c r="L12" s="34"/>
      <c r="M12" s="34"/>
    </row>
    <row r="13" spans="2:13" ht="22.5" customHeight="1">
      <c r="B13" s="29" t="s">
        <v>9</v>
      </c>
      <c r="C13" s="21">
        <f>726739787.06</f>
        <v>726739787.06</v>
      </c>
      <c r="D13" s="21">
        <f>477195408.76</f>
        <v>477195408.76</v>
      </c>
      <c r="E13" s="21">
        <f>476376775.16</f>
        <v>476376775.16</v>
      </c>
      <c r="F13" s="31">
        <f t="shared" si="0"/>
        <v>3.462049461719754</v>
      </c>
      <c r="G13" s="31">
        <f t="shared" si="1"/>
        <v>65.66248570075915</v>
      </c>
      <c r="H13" s="26"/>
      <c r="I13" s="34"/>
      <c r="J13" s="34"/>
      <c r="K13" s="34"/>
      <c r="L13" s="34"/>
      <c r="M13" s="34"/>
    </row>
    <row r="14" spans="2:13" ht="11.25" customHeight="1">
      <c r="B14" s="78" t="s">
        <v>6</v>
      </c>
      <c r="C14" s="21">
        <f>590000</f>
        <v>590000</v>
      </c>
      <c r="D14" s="21">
        <f>50000</f>
        <v>50000</v>
      </c>
      <c r="E14" s="21">
        <f>50000</f>
        <v>50000</v>
      </c>
      <c r="F14" s="31">
        <f t="shared" si="0"/>
        <v>0.00036274966168638813</v>
      </c>
      <c r="G14" s="31">
        <f t="shared" si="1"/>
        <v>8.474576271186441</v>
      </c>
      <c r="H14" s="26"/>
      <c r="I14" s="34"/>
      <c r="J14" s="34"/>
      <c r="K14" s="34"/>
      <c r="L14" s="34"/>
      <c r="M14" s="34"/>
    </row>
    <row r="15" spans="2:13" ht="11.25" customHeight="1">
      <c r="B15" s="29" t="s">
        <v>7</v>
      </c>
      <c r="C15" s="21">
        <f>385367201</f>
        <v>385367201</v>
      </c>
      <c r="D15" s="21">
        <f>222819175.23</f>
        <v>222819175.23</v>
      </c>
      <c r="E15" s="21">
        <f>222819175.23</f>
        <v>222819175.23</v>
      </c>
      <c r="F15" s="31">
        <f t="shared" si="0"/>
        <v>1.6165516086384506</v>
      </c>
      <c r="G15" s="31">
        <f t="shared" si="1"/>
        <v>57.819963570278</v>
      </c>
      <c r="H15" s="26"/>
      <c r="I15" s="34"/>
      <c r="J15" s="34"/>
      <c r="K15" s="34"/>
      <c r="L15" s="34"/>
      <c r="M15" s="34"/>
    </row>
    <row r="16" spans="2:13" ht="10.5" customHeight="1">
      <c r="B16" s="78" t="s">
        <v>6</v>
      </c>
      <c r="C16" s="21">
        <f>110912705</f>
        <v>110912705</v>
      </c>
      <c r="D16" s="21">
        <f>61611012.13</f>
        <v>61611012.13</v>
      </c>
      <c r="E16" s="21">
        <f>61611012.13</f>
        <v>61611012.13</v>
      </c>
      <c r="F16" s="31">
        <f t="shared" si="0"/>
        <v>0.4469874761262691</v>
      </c>
      <c r="G16" s="31">
        <f t="shared" si="1"/>
        <v>55.54910244953452</v>
      </c>
      <c r="H16" s="26"/>
      <c r="I16" s="34"/>
      <c r="J16" s="34"/>
      <c r="K16" s="34"/>
      <c r="L16" s="34"/>
      <c r="M16" s="34"/>
    </row>
    <row r="17" spans="2:13" ht="35.25" customHeight="1">
      <c r="B17" s="29" t="s">
        <v>10</v>
      </c>
      <c r="C17" s="21">
        <f>73505985</f>
        <v>73505985</v>
      </c>
      <c r="D17" s="21">
        <f>1056533.06</f>
        <v>1056533.06</v>
      </c>
      <c r="E17" s="21">
        <f>1056533.06</f>
        <v>1056533.06</v>
      </c>
      <c r="F17" s="31">
        <f t="shared" si="0"/>
        <v>0.007665140201509688</v>
      </c>
      <c r="G17" s="31">
        <f t="shared" si="1"/>
        <v>1.4373429047988406</v>
      </c>
      <c r="H17" s="26"/>
      <c r="I17" s="34"/>
      <c r="J17" s="34"/>
      <c r="K17" s="34"/>
      <c r="L17" s="34"/>
      <c r="M17" s="34"/>
    </row>
    <row r="18" spans="2:13" ht="9.75" customHeight="1">
      <c r="B18" s="78" t="s">
        <v>6</v>
      </c>
      <c r="C18" s="21">
        <f>38446041</f>
        <v>38446041</v>
      </c>
      <c r="D18" s="21">
        <f>104000</f>
        <v>104000</v>
      </c>
      <c r="E18" s="21">
        <f>104000</f>
        <v>104000</v>
      </c>
      <c r="F18" s="31">
        <f t="shared" si="0"/>
        <v>0.0007545192963076873</v>
      </c>
      <c r="G18" s="31">
        <f t="shared" si="1"/>
        <v>0.27050899727230693</v>
      </c>
      <c r="H18" s="26"/>
      <c r="I18" s="34"/>
      <c r="J18" s="34"/>
      <c r="K18" s="34"/>
      <c r="L18" s="34"/>
      <c r="M18" s="34"/>
    </row>
    <row r="19" spans="2:13" ht="33.75" customHeight="1">
      <c r="B19" s="29" t="s">
        <v>11</v>
      </c>
      <c r="C19" s="21">
        <f>68972914.47</f>
        <v>68972914.47</v>
      </c>
      <c r="D19" s="21">
        <f>51840972.54</f>
        <v>51840972.54</v>
      </c>
      <c r="E19" s="21">
        <f>51840972.54</f>
        <v>51840972.54</v>
      </c>
      <c r="F19" s="31">
        <f t="shared" si="0"/>
        <v>0.37610590500756674</v>
      </c>
      <c r="G19" s="31">
        <f t="shared" si="1"/>
        <v>75.16134839067647</v>
      </c>
      <c r="H19" s="26"/>
      <c r="I19" s="34"/>
      <c r="J19" s="34"/>
      <c r="K19" s="34"/>
      <c r="L19" s="34"/>
      <c r="M19" s="34"/>
    </row>
    <row r="20" spans="2:13" ht="11.25" customHeight="1">
      <c r="B20" s="78" t="s">
        <v>6</v>
      </c>
      <c r="C20" s="21">
        <f>21567336.47</f>
        <v>21567336.47</v>
      </c>
      <c r="D20" s="21">
        <f>16965793.57</f>
        <v>16965793.57</v>
      </c>
      <c r="E20" s="21">
        <f>16965793.57</f>
        <v>16965793.57</v>
      </c>
      <c r="F20" s="31">
        <f t="shared" si="0"/>
        <v>0.12308671755517198</v>
      </c>
      <c r="G20" s="31">
        <f t="shared" si="1"/>
        <v>78.66429678787313</v>
      </c>
      <c r="H20" s="26"/>
      <c r="I20" s="34"/>
      <c r="J20" s="34"/>
      <c r="K20" s="34"/>
      <c r="L20" s="34"/>
      <c r="M20" s="34"/>
    </row>
    <row r="21" spans="2:13" ht="45" customHeight="1">
      <c r="B21" s="29" t="s">
        <v>61</v>
      </c>
      <c r="C21" s="21">
        <f>148401246.7</f>
        <v>148401246.7</v>
      </c>
      <c r="D21" s="21">
        <f>83743257.67</f>
        <v>83743257.67</v>
      </c>
      <c r="E21" s="21">
        <f>83743257.67</f>
        <v>83743257.67</v>
      </c>
      <c r="F21" s="31">
        <f t="shared" si="0"/>
        <v>0.6075567677661705</v>
      </c>
      <c r="G21" s="31">
        <f t="shared" si="1"/>
        <v>56.430292556295626</v>
      </c>
      <c r="H21" s="26"/>
      <c r="I21" s="34"/>
      <c r="J21" s="34"/>
      <c r="K21" s="34"/>
      <c r="L21" s="34"/>
      <c r="M21" s="34"/>
    </row>
    <row r="22" spans="2:13" ht="12.75">
      <c r="B22" s="78" t="s">
        <v>6</v>
      </c>
      <c r="C22" s="21">
        <f>119971004.75</f>
        <v>119971004.75</v>
      </c>
      <c r="D22" s="21">
        <f>65672639</f>
        <v>65672639</v>
      </c>
      <c r="E22" s="21">
        <f>65672639</f>
        <v>65672639</v>
      </c>
      <c r="F22" s="31">
        <f t="shared" si="0"/>
        <v>0.476454551586046</v>
      </c>
      <c r="G22" s="31">
        <f t="shared" si="1"/>
        <v>54.74042593612604</v>
      </c>
      <c r="H22" s="26"/>
      <c r="I22" s="34"/>
      <c r="J22" s="34"/>
      <c r="K22" s="34"/>
      <c r="L22" s="34"/>
      <c r="M22" s="34"/>
    </row>
    <row r="23" spans="2:13" ht="21.75" customHeight="1">
      <c r="B23" s="29" t="s">
        <v>8</v>
      </c>
      <c r="C23" s="21">
        <f>90296607.59</f>
        <v>90296607.59</v>
      </c>
      <c r="D23" s="21">
        <f>74460115.62</f>
        <v>74460115.62</v>
      </c>
      <c r="E23" s="21">
        <f>74460114.62</f>
        <v>74460114.62</v>
      </c>
      <c r="F23" s="31">
        <f t="shared" si="0"/>
        <v>0.5402076350056869</v>
      </c>
      <c r="G23" s="31">
        <f t="shared" si="1"/>
        <v>82.46169773962379</v>
      </c>
      <c r="H23" s="26"/>
      <c r="I23" s="34"/>
      <c r="J23" s="34"/>
      <c r="K23" s="34"/>
      <c r="L23" s="34"/>
      <c r="M23" s="34"/>
    </row>
    <row r="24" spans="2:13" ht="12.75">
      <c r="B24" s="78" t="s">
        <v>6</v>
      </c>
      <c r="C24" s="21">
        <f>4913577</f>
        <v>4913577</v>
      </c>
      <c r="D24" s="21">
        <f>3388577.95</f>
        <v>3388577.95</v>
      </c>
      <c r="E24" s="21">
        <f>3388577.95</f>
        <v>3388577.95</v>
      </c>
      <c r="F24" s="31">
        <f t="shared" si="0"/>
        <v>0.02458411009920909</v>
      </c>
      <c r="G24" s="31">
        <f t="shared" si="1"/>
        <v>68.96356666436692</v>
      </c>
      <c r="H24" s="26"/>
      <c r="I24" s="34"/>
      <c r="J24" s="34"/>
      <c r="K24" s="34"/>
      <c r="L24" s="34"/>
      <c r="M24" s="34"/>
    </row>
    <row r="25" spans="2:13" ht="13.5" customHeight="1">
      <c r="B25" s="71" t="s">
        <v>52</v>
      </c>
      <c r="C25" s="72">
        <f>1087421857.13</f>
        <v>1087421857.13</v>
      </c>
      <c r="D25" s="72">
        <f>621979861.17</f>
        <v>621979861.17</v>
      </c>
      <c r="E25" s="72">
        <f>616574393.9</f>
        <v>616574393.9</v>
      </c>
      <c r="F25" s="73">
        <f t="shared" si="0"/>
        <v>4.512459684303282</v>
      </c>
      <c r="G25" s="73">
        <f t="shared" si="1"/>
        <v>57.19766041962525</v>
      </c>
      <c r="H25" s="26"/>
      <c r="I25" s="34"/>
      <c r="J25" s="34"/>
      <c r="K25" s="34"/>
      <c r="L25" s="34"/>
      <c r="M25" s="34"/>
    </row>
    <row r="26" spans="2:13" ht="14.25" customHeight="1">
      <c r="B26" s="28" t="s">
        <v>53</v>
      </c>
      <c r="C26" s="20">
        <f>402924911.84</f>
        <v>402924911.84</v>
      </c>
      <c r="D26" s="20">
        <f>183190699.14</f>
        <v>183190699.14</v>
      </c>
      <c r="E26" s="20">
        <f>183046519.53</f>
        <v>183046519.53</v>
      </c>
      <c r="F26" s="31">
        <f t="shared" si="0"/>
        <v>1.3290472827425583</v>
      </c>
      <c r="G26" s="31">
        <f t="shared" si="1"/>
        <v>45.465220381494895</v>
      </c>
      <c r="H26" s="26"/>
      <c r="I26" s="34"/>
      <c r="J26" s="34"/>
      <c r="K26" s="34"/>
      <c r="L26" s="34"/>
      <c r="M26" s="34"/>
    </row>
    <row r="27" spans="2:13" ht="14.25" customHeight="1">
      <c r="B27" s="71" t="s">
        <v>76</v>
      </c>
      <c r="C27" s="72">
        <f>4862094227.54</f>
        <v>4862094227.54</v>
      </c>
      <c r="D27" s="72">
        <f>2794164064.46</f>
        <v>2794164064.46</v>
      </c>
      <c r="E27" s="72">
        <f>2690191437.18</f>
        <v>2690191437.18</v>
      </c>
      <c r="F27" s="77">
        <f t="shared" si="0"/>
        <v>20.271641381582565</v>
      </c>
      <c r="G27" s="77">
        <f t="shared" si="1"/>
        <v>57.46832401217615</v>
      </c>
      <c r="H27" s="26"/>
      <c r="I27" s="34"/>
      <c r="J27" s="34"/>
      <c r="K27" s="34"/>
      <c r="L27" s="34"/>
      <c r="M27" s="34"/>
    </row>
    <row r="28" spans="2:13" ht="14.25" customHeight="1">
      <c r="B28" s="28" t="s">
        <v>77</v>
      </c>
      <c r="C28" s="20">
        <f>3484504246.73</f>
        <v>3484504246.73</v>
      </c>
      <c r="D28" s="20">
        <f>1915452724.68</f>
        <v>1915452724.68</v>
      </c>
      <c r="E28" s="20">
        <f>1812321275.66</f>
        <v>1812321275.66</v>
      </c>
      <c r="F28" s="31">
        <f t="shared" si="0"/>
        <v>13.896596557078807</v>
      </c>
      <c r="G28" s="31">
        <f>IF(C27=0,"",100*D28/C28)</f>
        <v>54.97059521386833</v>
      </c>
      <c r="H28" s="26"/>
      <c r="I28" s="34"/>
      <c r="J28" s="34"/>
      <c r="K28" s="34"/>
      <c r="L28" s="34"/>
      <c r="M28" s="34"/>
    </row>
    <row r="29" spans="2:13" s="5" customFormat="1" ht="22.5" customHeight="1">
      <c r="B29" s="55" t="s">
        <v>45</v>
      </c>
      <c r="C29" s="22">
        <f>C30+C31+C32+C33</f>
        <v>2532799468</v>
      </c>
      <c r="D29" s="22">
        <f>D30+D31+D32+D33</f>
        <v>1948971584</v>
      </c>
      <c r="E29" s="22">
        <f>E30+E31+E32+E33</f>
        <v>1903839032</v>
      </c>
      <c r="F29" s="30">
        <f t="shared" si="0"/>
        <v>14.13977565464768</v>
      </c>
      <c r="G29" s="30">
        <f t="shared" si="1"/>
        <v>76.94930485511298</v>
      </c>
      <c r="H29" s="27"/>
      <c r="I29" s="56"/>
      <c r="J29" s="56"/>
      <c r="K29" s="56"/>
      <c r="L29" s="56"/>
      <c r="M29" s="56"/>
    </row>
    <row r="30" spans="2:13" ht="12.75">
      <c r="B30" s="29" t="s">
        <v>32</v>
      </c>
      <c r="C30" s="21">
        <f>598502950</f>
        <v>598502950</v>
      </c>
      <c r="D30" s="21">
        <f>511369245</f>
        <v>511369245</v>
      </c>
      <c r="E30" s="21">
        <f>466236693</f>
        <v>466236693</v>
      </c>
      <c r="F30" s="31">
        <f t="shared" si="0"/>
        <v>3.7099804124114746</v>
      </c>
      <c r="G30" s="31">
        <f t="shared" si="1"/>
        <v>85.44139089038742</v>
      </c>
      <c r="H30" s="27"/>
      <c r="I30" s="34"/>
      <c r="J30" s="34"/>
      <c r="K30" s="34"/>
      <c r="L30" s="34"/>
      <c r="M30" s="34"/>
    </row>
    <row r="31" spans="2:13" ht="12.75">
      <c r="B31" s="29" t="s">
        <v>43</v>
      </c>
      <c r="C31" s="21">
        <f>492335499</f>
        <v>492335499</v>
      </c>
      <c r="D31" s="21">
        <f>343824183</f>
        <v>343824183</v>
      </c>
      <c r="E31" s="21">
        <f>343824183</f>
        <v>343824183</v>
      </c>
      <c r="F31" s="31">
        <f t="shared" si="0"/>
        <v>2.494442121256976</v>
      </c>
      <c r="G31" s="31">
        <f t="shared" si="1"/>
        <v>69.83534270804226</v>
      </c>
      <c r="H31" s="27"/>
      <c r="I31" s="34"/>
      <c r="J31" s="34"/>
      <c r="K31" s="34"/>
      <c r="L31" s="34"/>
      <c r="M31" s="34"/>
    </row>
    <row r="32" spans="2:13" ht="12.75">
      <c r="B32" s="29" t="s">
        <v>33</v>
      </c>
      <c r="C32" s="21">
        <f>1392731548</f>
        <v>1392731548</v>
      </c>
      <c r="D32" s="21">
        <f>1044548685</f>
        <v>1044548685</v>
      </c>
      <c r="E32" s="21">
        <f>1044548685</f>
        <v>1044548685</v>
      </c>
      <c r="F32" s="31">
        <f t="shared" si="0"/>
        <v>7.578193641974232</v>
      </c>
      <c r="G32" s="31">
        <f t="shared" si="1"/>
        <v>75.0000017232323</v>
      </c>
      <c r="H32" s="27"/>
      <c r="I32" s="34"/>
      <c r="J32" s="34"/>
      <c r="K32" s="34"/>
      <c r="L32" s="34"/>
      <c r="M32" s="34"/>
    </row>
    <row r="33" spans="2:13" s="5" customFormat="1" ht="14.25" customHeight="1">
      <c r="B33" s="29" t="s">
        <v>31</v>
      </c>
      <c r="C33" s="21">
        <f>49229471</f>
        <v>49229471</v>
      </c>
      <c r="D33" s="21">
        <f>49229471</f>
        <v>49229471</v>
      </c>
      <c r="E33" s="21">
        <f>49229471</f>
        <v>49229471</v>
      </c>
      <c r="F33" s="31">
        <f t="shared" si="0"/>
        <v>0.3571594790049971</v>
      </c>
      <c r="G33" s="31">
        <f t="shared" si="1"/>
        <v>100</v>
      </c>
      <c r="H33" s="27"/>
      <c r="I33" s="56"/>
      <c r="J33" s="56"/>
      <c r="K33" s="56"/>
      <c r="L33" s="56"/>
      <c r="M33" s="56"/>
    </row>
    <row r="34" spans="2:13" s="5" customFormat="1" ht="12.75">
      <c r="B34" s="79" t="s">
        <v>60</v>
      </c>
      <c r="C34" s="76">
        <f>+C5</f>
        <v>19162983037.7</v>
      </c>
      <c r="D34" s="76">
        <f>+D5</f>
        <v>13783610374.04</v>
      </c>
      <c r="E34" s="76">
        <f>+E5</f>
        <v>13533312730.37</v>
      </c>
      <c r="F34" s="77">
        <f>IF($D$5=0,"",100*$D34/$D$34)</f>
        <v>100</v>
      </c>
      <c r="G34" s="77">
        <f t="shared" si="1"/>
        <v>71.92831276280434</v>
      </c>
      <c r="H34" s="77"/>
      <c r="I34" s="56"/>
      <c r="J34" s="56"/>
      <c r="K34" s="56"/>
      <c r="L34" s="56"/>
      <c r="M34" s="56"/>
    </row>
    <row r="35" spans="2:13" s="5" customFormat="1" ht="12.75">
      <c r="B35" s="29" t="s">
        <v>54</v>
      </c>
      <c r="C35" s="21">
        <f>4477485397.49</f>
        <v>4477485397.49</v>
      </c>
      <c r="D35" s="21">
        <f>2409254056.08</f>
        <v>2409254056.08</v>
      </c>
      <c r="E35" s="21">
        <f>2305978427.45</f>
        <v>2305978427.45</v>
      </c>
      <c r="F35" s="31">
        <f>IF($D$5=0,"",100*$D35/$D$34)</f>
        <v>17.479121875191566</v>
      </c>
      <c r="G35" s="31">
        <f t="shared" si="1"/>
        <v>53.808194604734744</v>
      </c>
      <c r="H35" s="31">
        <f>IF($D$6=0,"",100*$D35/$D$6)</f>
        <v>32.09181163255177</v>
      </c>
      <c r="I35" s="56"/>
      <c r="J35" s="56"/>
      <c r="K35" s="56"/>
      <c r="L35" s="56"/>
      <c r="M35" s="56"/>
    </row>
    <row r="36" spans="1:13" s="5" customFormat="1" ht="12.75">
      <c r="A36" s="2"/>
      <c r="B36" s="29" t="s">
        <v>55</v>
      </c>
      <c r="C36" s="21">
        <f>C34-C35</f>
        <v>14685497640.210001</v>
      </c>
      <c r="D36" s="21">
        <f>D34-D35</f>
        <v>11374356317.960001</v>
      </c>
      <c r="E36" s="21">
        <f>E34-E35</f>
        <v>11227334302.920002</v>
      </c>
      <c r="F36" s="31">
        <f>IF($D$5=0,"",100*$D36/$D$34)</f>
        <v>82.52087812480842</v>
      </c>
      <c r="G36" s="31">
        <f t="shared" si="1"/>
        <v>77.45298522820333</v>
      </c>
      <c r="H36" s="31">
        <f>IF($D$6=0,"",100*$D36/$D$6)</f>
        <v>151.50901146200113</v>
      </c>
      <c r="I36" s="57"/>
      <c r="J36" s="57"/>
      <c r="K36" s="58"/>
      <c r="L36" s="58"/>
      <c r="M36" s="19"/>
    </row>
    <row r="37" spans="2:13" ht="21.75" customHeight="1">
      <c r="B37" s="115" t="s">
        <v>96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</row>
    <row r="38" spans="2:13" s="5" customFormat="1" ht="4.5" customHeight="1">
      <c r="B38" s="6"/>
      <c r="C38" s="7"/>
      <c r="D38" s="8"/>
      <c r="E38" s="8"/>
      <c r="F38" s="4"/>
      <c r="G38" s="4"/>
      <c r="H38" s="4"/>
      <c r="I38" s="4"/>
      <c r="J38" s="4"/>
      <c r="K38" s="9"/>
      <c r="L38" s="9"/>
      <c r="M38" s="3"/>
    </row>
    <row r="39" spans="2:27" ht="29.25" customHeight="1">
      <c r="B39" s="126" t="s">
        <v>0</v>
      </c>
      <c r="C39" s="116" t="s">
        <v>39</v>
      </c>
      <c r="D39" s="116" t="s">
        <v>40</v>
      </c>
      <c r="E39" s="116" t="s">
        <v>41</v>
      </c>
      <c r="F39" s="116" t="s">
        <v>12</v>
      </c>
      <c r="G39" s="116"/>
      <c r="H39" s="116"/>
      <c r="I39" s="116" t="s">
        <v>78</v>
      </c>
      <c r="J39" s="116"/>
      <c r="K39" s="116" t="s">
        <v>2</v>
      </c>
      <c r="L39" s="125" t="s">
        <v>27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8" customHeight="1">
      <c r="B40" s="126"/>
      <c r="C40" s="116"/>
      <c r="D40" s="117"/>
      <c r="E40" s="116"/>
      <c r="F40" s="107" t="s">
        <v>42</v>
      </c>
      <c r="G40" s="118" t="s">
        <v>25</v>
      </c>
      <c r="H40" s="117"/>
      <c r="I40" s="116"/>
      <c r="J40" s="116"/>
      <c r="K40" s="116"/>
      <c r="L40" s="125"/>
      <c r="M40" s="11"/>
      <c r="N40" s="12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ht="36" customHeight="1">
      <c r="B41" s="126"/>
      <c r="C41" s="116"/>
      <c r="D41" s="117"/>
      <c r="E41" s="116"/>
      <c r="F41" s="117"/>
      <c r="G41" s="15" t="s">
        <v>37</v>
      </c>
      <c r="H41" s="15" t="s">
        <v>38</v>
      </c>
      <c r="I41" s="116"/>
      <c r="J41" s="116"/>
      <c r="K41" s="116"/>
      <c r="L41" s="125"/>
      <c r="M41" s="11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27" ht="13.5" customHeight="1">
      <c r="B42" s="126"/>
      <c r="C42" s="119" t="s">
        <v>59</v>
      </c>
      <c r="D42" s="119"/>
      <c r="E42" s="119"/>
      <c r="F42" s="119"/>
      <c r="G42" s="119"/>
      <c r="H42" s="119"/>
      <c r="I42" s="119"/>
      <c r="J42" s="119"/>
      <c r="K42" s="119" t="s">
        <v>4</v>
      </c>
      <c r="L42" s="119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7" ht="11.25" customHeight="1">
      <c r="B43" s="14">
        <v>1</v>
      </c>
      <c r="C43" s="16">
        <v>2</v>
      </c>
      <c r="D43" s="16">
        <v>3</v>
      </c>
      <c r="E43" s="16">
        <v>4</v>
      </c>
      <c r="F43" s="14">
        <v>5</v>
      </c>
      <c r="G43" s="14">
        <v>6</v>
      </c>
      <c r="H43" s="16">
        <v>7</v>
      </c>
      <c r="I43" s="117">
        <v>8</v>
      </c>
      <c r="J43" s="117"/>
      <c r="K43" s="14">
        <v>9</v>
      </c>
      <c r="L43" s="16">
        <v>10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13" ht="25.5" customHeight="1">
      <c r="B44" s="71" t="s">
        <v>46</v>
      </c>
      <c r="C44" s="80">
        <f>20880348261.88</f>
        <v>20880348261.88</v>
      </c>
      <c r="D44" s="80">
        <f>17204635806.82</f>
        <v>17204635806.82</v>
      </c>
      <c r="E44" s="80">
        <f>11402612446.27</f>
        <v>11402612446.27</v>
      </c>
      <c r="F44" s="80">
        <f>733945526.83</f>
        <v>733945526.83</v>
      </c>
      <c r="G44" s="80">
        <f>39557.66</f>
        <v>39557.66</v>
      </c>
      <c r="H44" s="80">
        <f>681037.64</f>
        <v>681037.64</v>
      </c>
      <c r="I44" s="123">
        <f>0</f>
        <v>0</v>
      </c>
      <c r="J44" s="123"/>
      <c r="K44" s="54">
        <f aca="true" t="shared" si="2" ref="K44:K53">IF($E$44=0,"",100*$E44/$E$44)</f>
        <v>100</v>
      </c>
      <c r="L44" s="54">
        <f aca="true" t="shared" si="3" ref="L44:L53">IF(C44=0,"",100*E44/C44)</f>
        <v>54.6093020253262</v>
      </c>
      <c r="M44" s="34"/>
    </row>
    <row r="45" spans="2:13" ht="12.75">
      <c r="B45" s="55" t="s">
        <v>14</v>
      </c>
      <c r="C45" s="23">
        <f>8492659756.95</f>
        <v>8492659756.95</v>
      </c>
      <c r="D45" s="23">
        <f>6904121484.8</f>
        <v>6904121484.8</v>
      </c>
      <c r="E45" s="23">
        <f>3469529253.1</f>
        <v>3469529253.1</v>
      </c>
      <c r="F45" s="23">
        <f>429801529.93</f>
        <v>429801529.93</v>
      </c>
      <c r="G45" s="23">
        <f>39557.66</f>
        <v>39557.66</v>
      </c>
      <c r="H45" s="23">
        <f>520341.6</f>
        <v>520341.6</v>
      </c>
      <c r="I45" s="122">
        <f>0</f>
        <v>0</v>
      </c>
      <c r="J45" s="124"/>
      <c r="K45" s="32">
        <f t="shared" si="2"/>
        <v>30.427494308420044</v>
      </c>
      <c r="L45" s="32">
        <f t="shared" si="3"/>
        <v>40.85327038164572</v>
      </c>
      <c r="M45" s="34"/>
    </row>
    <row r="46" spans="2:13" ht="22.5" customHeight="1">
      <c r="B46" s="17" t="s">
        <v>13</v>
      </c>
      <c r="C46" s="20">
        <f>8170556963.95</f>
        <v>8170556963.95</v>
      </c>
      <c r="D46" s="20">
        <f>6704096925.53</f>
        <v>6704096925.53</v>
      </c>
      <c r="E46" s="20">
        <f>3296260374.83</f>
        <v>3296260374.83</v>
      </c>
      <c r="F46" s="20">
        <f>429801529.93</f>
        <v>429801529.93</v>
      </c>
      <c r="G46" s="20">
        <f>39557.66</f>
        <v>39557.66</v>
      </c>
      <c r="H46" s="20">
        <f>520341.6</f>
        <v>520341.6</v>
      </c>
      <c r="I46" s="120">
        <f>0</f>
        <v>0</v>
      </c>
      <c r="J46" s="121"/>
      <c r="K46" s="33">
        <f t="shared" si="2"/>
        <v>28.907940091467953</v>
      </c>
      <c r="L46" s="33">
        <f t="shared" si="3"/>
        <v>40.343153953564084</v>
      </c>
      <c r="M46" s="34"/>
    </row>
    <row r="47" spans="2:13" ht="25.5" customHeight="1">
      <c r="B47" s="55" t="s">
        <v>47</v>
      </c>
      <c r="C47" s="23">
        <f aca="true" t="shared" si="4" ref="C47:I47">C44-C45</f>
        <v>12387688504.93</v>
      </c>
      <c r="D47" s="23">
        <f t="shared" si="4"/>
        <v>10300514322.02</v>
      </c>
      <c r="E47" s="23">
        <f t="shared" si="4"/>
        <v>7933083193.17</v>
      </c>
      <c r="F47" s="23">
        <f t="shared" si="4"/>
        <v>304143996.90000004</v>
      </c>
      <c r="G47" s="23">
        <f t="shared" si="4"/>
        <v>0</v>
      </c>
      <c r="H47" s="23">
        <f t="shared" si="4"/>
        <v>160696.04000000004</v>
      </c>
      <c r="I47" s="122">
        <f t="shared" si="4"/>
        <v>0</v>
      </c>
      <c r="J47" s="122"/>
      <c r="K47" s="32">
        <f t="shared" si="2"/>
        <v>69.57250569157995</v>
      </c>
      <c r="L47" s="32">
        <f t="shared" si="3"/>
        <v>64.04006033904409</v>
      </c>
      <c r="M47" s="34"/>
    </row>
    <row r="48" spans="2:13" ht="22.5">
      <c r="B48" s="17" t="s">
        <v>95</v>
      </c>
      <c r="C48" s="20">
        <f>3157696991.07</f>
        <v>3157696991.07</v>
      </c>
      <c r="D48" s="20">
        <f>2873941562.01</f>
        <v>2873941562.01</v>
      </c>
      <c r="E48" s="20">
        <f>2166351592.01</f>
        <v>2166351592.01</v>
      </c>
      <c r="F48" s="20">
        <f>41266881.95</f>
        <v>41266881.95</v>
      </c>
      <c r="G48" s="20">
        <f>0</f>
        <v>0</v>
      </c>
      <c r="H48" s="20">
        <f>0</f>
        <v>0</v>
      </c>
      <c r="I48" s="120">
        <f>0</f>
        <v>0</v>
      </c>
      <c r="J48" s="121"/>
      <c r="K48" s="33">
        <f t="shared" si="2"/>
        <v>18.998730354276425</v>
      </c>
      <c r="L48" s="33">
        <f t="shared" si="3"/>
        <v>68.60542978431639</v>
      </c>
      <c r="M48" s="34"/>
    </row>
    <row r="49" spans="2:13" ht="12.75">
      <c r="B49" s="29" t="s">
        <v>36</v>
      </c>
      <c r="C49" s="81">
        <f>5167378200.86</f>
        <v>5167378200.86</v>
      </c>
      <c r="D49" s="81">
        <f>4473514425.9</f>
        <v>4473514425.9</v>
      </c>
      <c r="E49" s="81">
        <f>3520668632.57</f>
        <v>3520668632.57</v>
      </c>
      <c r="F49" s="81">
        <f>11086012.37</f>
        <v>11086012.37</v>
      </c>
      <c r="G49" s="81">
        <f>0</f>
        <v>0</v>
      </c>
      <c r="H49" s="81">
        <f>0</f>
        <v>0</v>
      </c>
      <c r="I49" s="112">
        <f>0</f>
        <v>0</v>
      </c>
      <c r="J49" s="112"/>
      <c r="K49" s="82">
        <f t="shared" si="2"/>
        <v>30.87598257995407</v>
      </c>
      <c r="L49" s="82">
        <f t="shared" si="3"/>
        <v>68.1325905656385</v>
      </c>
      <c r="M49" s="34"/>
    </row>
    <row r="50" spans="2:13" ht="12.75">
      <c r="B50" s="29" t="s">
        <v>35</v>
      </c>
      <c r="C50" s="21">
        <f>167973438.47</f>
        <v>167973438.47</v>
      </c>
      <c r="D50" s="21">
        <f>114906778.12</f>
        <v>114906778.12</v>
      </c>
      <c r="E50" s="21">
        <f>97492737.19</f>
        <v>97492737.19</v>
      </c>
      <c r="F50" s="21">
        <f>1539390.63</f>
        <v>1539390.63</v>
      </c>
      <c r="G50" s="21">
        <f>0</f>
        <v>0</v>
      </c>
      <c r="H50" s="21">
        <f>0</f>
        <v>0</v>
      </c>
      <c r="I50" s="113">
        <f>0</f>
        <v>0</v>
      </c>
      <c r="J50" s="113"/>
      <c r="K50" s="82">
        <f t="shared" si="2"/>
        <v>0.8550035147593885</v>
      </c>
      <c r="L50" s="82">
        <f t="shared" si="3"/>
        <v>58.040567650469434</v>
      </c>
      <c r="M50" s="34"/>
    </row>
    <row r="51" spans="2:13" ht="22.5" customHeight="1">
      <c r="B51" s="29" t="s">
        <v>50</v>
      </c>
      <c r="C51" s="81">
        <f>71264086.76</f>
        <v>71264086.76</v>
      </c>
      <c r="D51" s="81">
        <f>17317074.94</f>
        <v>17317074.94</v>
      </c>
      <c r="E51" s="81">
        <f>6357110.35</f>
        <v>6357110.35</v>
      </c>
      <c r="F51" s="81">
        <f>0</f>
        <v>0</v>
      </c>
      <c r="G51" s="81">
        <f>0</f>
        <v>0</v>
      </c>
      <c r="H51" s="81">
        <f>0</f>
        <v>0</v>
      </c>
      <c r="I51" s="112">
        <f>0</f>
        <v>0</v>
      </c>
      <c r="J51" s="112"/>
      <c r="K51" s="82">
        <f t="shared" si="2"/>
        <v>0.055751349788964594</v>
      </c>
      <c r="L51" s="82">
        <f t="shared" si="3"/>
        <v>8.92049647869507</v>
      </c>
      <c r="M51" s="34"/>
    </row>
    <row r="52" spans="2:13" ht="22.5">
      <c r="B52" s="29" t="s">
        <v>51</v>
      </c>
      <c r="C52" s="81">
        <f>151683019.45</f>
        <v>151683019.45</v>
      </c>
      <c r="D52" s="81">
        <f>122151735.99</f>
        <v>122151735.99</v>
      </c>
      <c r="E52" s="81">
        <f>102682060.45</f>
        <v>102682060.45</v>
      </c>
      <c r="F52" s="81">
        <f>1524160.34</f>
        <v>1524160.34</v>
      </c>
      <c r="G52" s="81">
        <f>0</f>
        <v>0</v>
      </c>
      <c r="H52" s="81">
        <f>0</f>
        <v>0</v>
      </c>
      <c r="I52" s="102">
        <f>0</f>
        <v>0</v>
      </c>
      <c r="J52" s="103"/>
      <c r="K52" s="82">
        <f t="shared" si="2"/>
        <v>0.9005134650839522</v>
      </c>
      <c r="L52" s="82">
        <f t="shared" si="3"/>
        <v>67.69515851037471</v>
      </c>
      <c r="M52" s="34"/>
    </row>
    <row r="53" spans="2:13" ht="12.75">
      <c r="B53" s="29" t="s">
        <v>34</v>
      </c>
      <c r="C53" s="21">
        <f aca="true" t="shared" si="5" ref="C53:I53">C47-C48-C49-C50-C51-C52</f>
        <v>3671692768.320001</v>
      </c>
      <c r="D53" s="21">
        <f t="shared" si="5"/>
        <v>2698682745.060001</v>
      </c>
      <c r="E53" s="21">
        <f t="shared" si="5"/>
        <v>2039531060.5999997</v>
      </c>
      <c r="F53" s="21">
        <f t="shared" si="5"/>
        <v>248727551.61000004</v>
      </c>
      <c r="G53" s="21">
        <f t="shared" si="5"/>
        <v>0</v>
      </c>
      <c r="H53" s="21">
        <f t="shared" si="5"/>
        <v>160696.04000000004</v>
      </c>
      <c r="I53" s="102">
        <f t="shared" si="5"/>
        <v>0</v>
      </c>
      <c r="J53" s="103"/>
      <c r="K53" s="82">
        <f t="shared" si="2"/>
        <v>17.88652442771715</v>
      </c>
      <c r="L53" s="82">
        <f t="shared" si="3"/>
        <v>55.54743245942105</v>
      </c>
      <c r="M53" s="34"/>
    </row>
    <row r="54" spans="2:13" ht="12.75">
      <c r="B54" s="55" t="s">
        <v>15</v>
      </c>
      <c r="C54" s="23">
        <f>C5-C44</f>
        <v>-1717365224.1800003</v>
      </c>
      <c r="D54" s="23"/>
      <c r="E54" s="23">
        <f>D5-E44</f>
        <v>2380997927.7700005</v>
      </c>
      <c r="F54" s="24"/>
      <c r="G54" s="24"/>
      <c r="H54" s="24"/>
      <c r="I54" s="114"/>
      <c r="J54" s="114"/>
      <c r="K54" s="25"/>
      <c r="L54" s="25"/>
      <c r="M54" s="59"/>
    </row>
    <row r="55" spans="2:13" ht="33.75">
      <c r="B55" s="60" t="s">
        <v>79</v>
      </c>
      <c r="C55" s="23">
        <f>+C36-C47</f>
        <v>2297809135.2800007</v>
      </c>
      <c r="D55" s="61"/>
      <c r="E55" s="23">
        <f>+D36-E47</f>
        <v>3441273124.790001</v>
      </c>
      <c r="F55" s="62"/>
      <c r="G55" s="62"/>
      <c r="H55" s="62"/>
      <c r="I55" s="98"/>
      <c r="J55" s="99"/>
      <c r="K55" s="34"/>
      <c r="L55" s="63"/>
      <c r="M55" s="63"/>
    </row>
    <row r="56" spans="2:13" ht="6.75" customHeight="1" thickBot="1">
      <c r="B56" s="64"/>
      <c r="C56" s="65"/>
      <c r="D56" s="65"/>
      <c r="E56" s="65"/>
      <c r="F56" s="18"/>
      <c r="G56" s="18"/>
      <c r="H56" s="18"/>
      <c r="I56" s="18"/>
      <c r="J56" s="34"/>
      <c r="K56" s="34"/>
      <c r="L56" s="63"/>
      <c r="M56" s="63"/>
    </row>
    <row r="57" spans="2:13" ht="12" customHeight="1" thickBot="1">
      <c r="B57" s="66" t="s">
        <v>56</v>
      </c>
      <c r="C57" s="65"/>
      <c r="D57" s="65"/>
      <c r="E57" s="65"/>
      <c r="F57" s="18"/>
      <c r="G57" s="18"/>
      <c r="H57" s="18"/>
      <c r="I57" s="18"/>
      <c r="J57" s="34"/>
      <c r="K57" s="34"/>
      <c r="L57" s="63"/>
      <c r="M57" s="63"/>
    </row>
    <row r="58" spans="2:13" ht="23.25" customHeight="1">
      <c r="B58" s="84" t="s">
        <v>80</v>
      </c>
      <c r="C58" s="23">
        <f>7674300010.11</f>
        <v>7674300010.11</v>
      </c>
      <c r="D58" s="23">
        <f>6159943664.62</f>
        <v>6159943664.62</v>
      </c>
      <c r="E58" s="23">
        <f>3616513138.22</f>
        <v>3616513138.22</v>
      </c>
      <c r="F58" s="23">
        <f>368454003.46</f>
        <v>368454003.46</v>
      </c>
      <c r="G58" s="23">
        <f>8116.66</f>
        <v>8116.66</v>
      </c>
      <c r="H58" s="23">
        <f>176840.84</f>
        <v>176840.84</v>
      </c>
      <c r="I58" s="100">
        <f>0</f>
        <v>0</v>
      </c>
      <c r="J58" s="101"/>
      <c r="K58" s="33">
        <f>IF($E$44=0,"",100*$E58/$E$58)</f>
        <v>100</v>
      </c>
      <c r="L58" s="33">
        <f>IF(C58=0,"",100*E58/C58)</f>
        <v>47.12499033730325</v>
      </c>
      <c r="M58" s="63"/>
    </row>
    <row r="59" spans="2:13" ht="12.75">
      <c r="B59" s="83" t="s">
        <v>57</v>
      </c>
      <c r="C59" s="81">
        <f>5291772309.77</f>
        <v>5291772309.77</v>
      </c>
      <c r="D59" s="81">
        <f>4373076976.45</f>
        <v>4373076976.45</v>
      </c>
      <c r="E59" s="81">
        <f>2298399720.28</f>
        <v>2298399720.28</v>
      </c>
      <c r="F59" s="81">
        <f>354278836.01</f>
        <v>354278836.01</v>
      </c>
      <c r="G59" s="81">
        <f>8116.66</f>
        <v>8116.66</v>
      </c>
      <c r="H59" s="81">
        <f>176840.84</f>
        <v>176840.84</v>
      </c>
      <c r="I59" s="102">
        <f>0</f>
        <v>0</v>
      </c>
      <c r="J59" s="103"/>
      <c r="K59" s="82">
        <f>IF($E$44=0,"",100*$E59/$E$58)</f>
        <v>63.552920518664074</v>
      </c>
      <c r="L59" s="82">
        <f>IF(C59=0,"",100*E59/C59)</f>
        <v>43.433458314836244</v>
      </c>
      <c r="M59" s="34"/>
    </row>
    <row r="60" spans="2:13" ht="12.75" customHeight="1">
      <c r="B60" s="83" t="s">
        <v>58</v>
      </c>
      <c r="C60" s="81">
        <f aca="true" t="shared" si="6" ref="C60:I60">C58-C59</f>
        <v>2382527700.339999</v>
      </c>
      <c r="D60" s="81">
        <f t="shared" si="6"/>
        <v>1786866688.17</v>
      </c>
      <c r="E60" s="81">
        <f t="shared" si="6"/>
        <v>1318113417.9399996</v>
      </c>
      <c r="F60" s="81">
        <f t="shared" si="6"/>
        <v>14175167.449999988</v>
      </c>
      <c r="G60" s="81">
        <f t="shared" si="6"/>
        <v>0</v>
      </c>
      <c r="H60" s="81">
        <f t="shared" si="6"/>
        <v>0</v>
      </c>
      <c r="I60" s="104">
        <f t="shared" si="6"/>
        <v>0</v>
      </c>
      <c r="J60" s="105"/>
      <c r="K60" s="82">
        <f>IF($E$44=0,"",100*$E60/$E$58)</f>
        <v>36.447079481335926</v>
      </c>
      <c r="L60" s="82">
        <f>IF(C60=0,"",100*E60/C60)</f>
        <v>55.324159200831026</v>
      </c>
      <c r="M60" s="34"/>
    </row>
    <row r="61" spans="2:13" ht="23.25" customHeight="1">
      <c r="B61" s="115" t="s">
        <v>96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</row>
    <row r="62" ht="6" customHeight="1"/>
    <row r="63" spans="2:8" ht="12.75">
      <c r="B63" s="37" t="s">
        <v>16</v>
      </c>
      <c r="C63" s="106" t="s">
        <v>17</v>
      </c>
      <c r="D63" s="94"/>
      <c r="E63" s="106" t="s">
        <v>1</v>
      </c>
      <c r="F63" s="94"/>
      <c r="G63" s="16" t="s">
        <v>22</v>
      </c>
      <c r="H63" s="16" t="s">
        <v>23</v>
      </c>
    </row>
    <row r="64" spans="2:8" ht="12.75">
      <c r="B64" s="37"/>
      <c r="C64" s="107" t="s">
        <v>59</v>
      </c>
      <c r="D64" s="108"/>
      <c r="E64" s="108"/>
      <c r="F64" s="109"/>
      <c r="G64" s="110" t="s">
        <v>4</v>
      </c>
      <c r="H64" s="111"/>
    </row>
    <row r="65" spans="2:8" ht="12.75">
      <c r="B65" s="35">
        <v>1</v>
      </c>
      <c r="C65" s="67">
        <v>2</v>
      </c>
      <c r="D65" s="68"/>
      <c r="E65" s="67">
        <v>3</v>
      </c>
      <c r="F65" s="68"/>
      <c r="G65" s="36">
        <v>4</v>
      </c>
      <c r="H65" s="36">
        <v>5</v>
      </c>
    </row>
    <row r="66" spans="2:8" ht="22.5">
      <c r="B66" s="69" t="s">
        <v>48</v>
      </c>
      <c r="C66" s="40">
        <f>2971594978.18</f>
        <v>2971594978.18</v>
      </c>
      <c r="D66" s="41"/>
      <c r="E66" s="40">
        <f>1621588016.91</f>
        <v>1621588016.91</v>
      </c>
      <c r="F66" s="41"/>
      <c r="G66" s="39">
        <f>IF($E$66=0,"",100*$E66/$E$66)</f>
        <v>100</v>
      </c>
      <c r="H66" s="32">
        <f>IF(C66=0,"",100*E66/C66)</f>
        <v>54.56961762343424</v>
      </c>
    </row>
    <row r="67" spans="2:8" ht="33.75">
      <c r="B67" s="38" t="s">
        <v>83</v>
      </c>
      <c r="C67" s="42">
        <f>1448489274</f>
        <v>1448489274</v>
      </c>
      <c r="D67" s="43"/>
      <c r="E67" s="42">
        <f>133807316.99</f>
        <v>133807316.99</v>
      </c>
      <c r="F67" s="43"/>
      <c r="G67" s="52">
        <f aca="true" t="shared" si="7" ref="G67:G73">IF($E$66=0,"",100*$E67/$E$66)</f>
        <v>8.251622211970654</v>
      </c>
      <c r="H67" s="53">
        <f aca="true" t="shared" si="8" ref="H67:H78">IF(C67=0,"",100*E67/C67)</f>
        <v>9.237715417836087</v>
      </c>
    </row>
    <row r="68" spans="2:8" ht="22.5">
      <c r="B68" s="85" t="s">
        <v>84</v>
      </c>
      <c r="C68" s="86">
        <f>0</f>
        <v>0</v>
      </c>
      <c r="D68" s="87"/>
      <c r="E68" s="86">
        <f>0</f>
        <v>0</v>
      </c>
      <c r="F68" s="87"/>
      <c r="G68" s="88">
        <f t="shared" si="7"/>
        <v>0</v>
      </c>
      <c r="H68" s="89">
        <f t="shared" si="8"/>
      </c>
    </row>
    <row r="69" spans="2:8" ht="12.75">
      <c r="B69" s="90" t="s">
        <v>85</v>
      </c>
      <c r="C69" s="86">
        <f>52894731</f>
        <v>52894731</v>
      </c>
      <c r="D69" s="87"/>
      <c r="E69" s="86">
        <f>9595291.55</f>
        <v>9595291.55</v>
      </c>
      <c r="F69" s="87"/>
      <c r="G69" s="88">
        <f t="shared" si="7"/>
        <v>0.5917219077805106</v>
      </c>
      <c r="H69" s="89">
        <f t="shared" si="8"/>
        <v>18.140354187641112</v>
      </c>
    </row>
    <row r="70" spans="2:8" ht="12.75">
      <c r="B70" s="90" t="s">
        <v>86</v>
      </c>
      <c r="C70" s="86">
        <f>47792151</f>
        <v>47792151</v>
      </c>
      <c r="D70" s="87"/>
      <c r="E70" s="86">
        <f>66293282.8</f>
        <v>66293282.8</v>
      </c>
      <c r="F70" s="87"/>
      <c r="G70" s="88">
        <f t="shared" si="7"/>
        <v>4.088170491437428</v>
      </c>
      <c r="H70" s="89">
        <f t="shared" si="8"/>
        <v>138.71165330055976</v>
      </c>
    </row>
    <row r="71" spans="2:8" ht="12.75">
      <c r="B71" s="90" t="s">
        <v>87</v>
      </c>
      <c r="C71" s="86">
        <f>0</f>
        <v>0</v>
      </c>
      <c r="D71" s="87"/>
      <c r="E71" s="86">
        <f>0</f>
        <v>0</v>
      </c>
      <c r="F71" s="87"/>
      <c r="G71" s="88">
        <f t="shared" si="7"/>
        <v>0</v>
      </c>
      <c r="H71" s="89">
        <f t="shared" si="8"/>
      </c>
    </row>
    <row r="72" spans="2:8" ht="33.75">
      <c r="B72" s="90" t="s">
        <v>91</v>
      </c>
      <c r="C72" s="86">
        <f>1122418822.18</f>
        <v>1122418822.18</v>
      </c>
      <c r="D72" s="87"/>
      <c r="E72" s="86">
        <f>1411892125.57</f>
        <v>1411892125.57</v>
      </c>
      <c r="F72" s="87"/>
      <c r="G72" s="88">
        <f t="shared" si="7"/>
        <v>87.0684853888114</v>
      </c>
      <c r="H72" s="89">
        <f t="shared" si="8"/>
        <v>125.79013267327208</v>
      </c>
    </row>
    <row r="73" spans="2:8" ht="12.75">
      <c r="B73" s="85" t="s">
        <v>62</v>
      </c>
      <c r="C73" s="86">
        <f>300000000</f>
        <v>300000000</v>
      </c>
      <c r="D73" s="87"/>
      <c r="E73" s="86">
        <f>0</f>
        <v>0</v>
      </c>
      <c r="F73" s="87"/>
      <c r="G73" s="88">
        <f t="shared" si="7"/>
        <v>0</v>
      </c>
      <c r="H73" s="89">
        <f t="shared" si="8"/>
        <v>0</v>
      </c>
    </row>
    <row r="74" spans="2:8" ht="22.5">
      <c r="B74" s="69" t="s">
        <v>49</v>
      </c>
      <c r="C74" s="49">
        <f>1250879088</f>
        <v>1250879088</v>
      </c>
      <c r="D74" s="50"/>
      <c r="E74" s="49">
        <f>565817629.98</f>
        <v>565817629.98</v>
      </c>
      <c r="F74" s="50"/>
      <c r="G74" s="39">
        <f>IF($E$74=0,"",100*$E74/$E$74)</f>
        <v>100</v>
      </c>
      <c r="H74" s="32">
        <f t="shared" si="8"/>
        <v>45.23359894717498</v>
      </c>
    </row>
    <row r="75" spans="2:8" ht="33.75">
      <c r="B75" s="38" t="s">
        <v>88</v>
      </c>
      <c r="C75" s="42">
        <f>902432802</f>
        <v>902432802</v>
      </c>
      <c r="D75" s="47"/>
      <c r="E75" s="48">
        <f>526704394.3</f>
        <v>526704394.3</v>
      </c>
      <c r="F75" s="47"/>
      <c r="G75" s="52">
        <f>IF($E$74=0,"",100*$E75/$E$74)</f>
        <v>93.08730700360422</v>
      </c>
      <c r="H75" s="53">
        <f t="shared" si="8"/>
        <v>58.36494342101718</v>
      </c>
    </row>
    <row r="76" spans="2:8" ht="22.5">
      <c r="B76" s="90" t="s">
        <v>89</v>
      </c>
      <c r="C76" s="86">
        <f>118422880</f>
        <v>118422880</v>
      </c>
      <c r="D76" s="87"/>
      <c r="E76" s="86">
        <f>116672880</f>
        <v>116672880</v>
      </c>
      <c r="F76" s="87"/>
      <c r="G76" s="88">
        <f>IF($E$74=0,"",100*$E76/$E$74)</f>
        <v>20.620227051625104</v>
      </c>
      <c r="H76" s="89">
        <f t="shared" si="8"/>
        <v>98.52224502562343</v>
      </c>
    </row>
    <row r="77" spans="2:8" ht="12.75">
      <c r="B77" s="90" t="s">
        <v>90</v>
      </c>
      <c r="C77" s="86">
        <f>48446286</f>
        <v>48446286</v>
      </c>
      <c r="D77" s="87"/>
      <c r="E77" s="86">
        <f>39113235.68</f>
        <v>39113235.68</v>
      </c>
      <c r="F77" s="87"/>
      <c r="G77" s="88">
        <f>IF($E$74=0,"",100*$E77/$E$74)</f>
        <v>6.912692996395771</v>
      </c>
      <c r="H77" s="89">
        <f t="shared" si="8"/>
        <v>80.7352614811381</v>
      </c>
    </row>
    <row r="78" spans="2:8" ht="12.75">
      <c r="B78" s="90" t="s">
        <v>24</v>
      </c>
      <c r="C78" s="86">
        <f>300000000</f>
        <v>300000000</v>
      </c>
      <c r="D78" s="87"/>
      <c r="E78" s="86">
        <f>0</f>
        <v>0</v>
      </c>
      <c r="F78" s="87"/>
      <c r="G78" s="88">
        <f>IF($E$74=0,"",100*$E78/$E$74)</f>
        <v>0</v>
      </c>
      <c r="H78" s="89">
        <f t="shared" si="8"/>
        <v>0</v>
      </c>
    </row>
    <row r="80" spans="2:8" ht="12.75">
      <c r="B80" s="37" t="s">
        <v>16</v>
      </c>
      <c r="C80" s="106" t="s">
        <v>17</v>
      </c>
      <c r="D80" s="94"/>
      <c r="E80" s="106" t="s">
        <v>1</v>
      </c>
      <c r="F80" s="94"/>
      <c r="G80" s="16" t="s">
        <v>22</v>
      </c>
      <c r="H80" s="16" t="s">
        <v>23</v>
      </c>
    </row>
    <row r="81" spans="2:8" ht="12.75">
      <c r="B81" s="37"/>
      <c r="C81" s="107" t="s">
        <v>59</v>
      </c>
      <c r="D81" s="108"/>
      <c r="E81" s="108"/>
      <c r="F81" s="109"/>
      <c r="G81" s="110" t="s">
        <v>4</v>
      </c>
      <c r="H81" s="111"/>
    </row>
    <row r="82" spans="2:8" ht="12.75">
      <c r="B82" s="35">
        <v>1</v>
      </c>
      <c r="C82" s="67">
        <v>2</v>
      </c>
      <c r="D82" s="68"/>
      <c r="E82" s="67">
        <v>3</v>
      </c>
      <c r="F82" s="68"/>
      <c r="G82" s="36">
        <v>4</v>
      </c>
      <c r="H82" s="36">
        <v>5</v>
      </c>
    </row>
    <row r="83" spans="2:8" ht="22.5">
      <c r="B83" s="51" t="s">
        <v>63</v>
      </c>
      <c r="C83" s="46">
        <f>1746270292.18</f>
        <v>1746270292.18</v>
      </c>
      <c r="D83" s="44"/>
      <c r="E83" s="46">
        <f>0</f>
        <v>0</v>
      </c>
      <c r="F83" s="41"/>
      <c r="G83" s="39"/>
      <c r="H83" s="32"/>
    </row>
    <row r="84" spans="2:8" ht="56.25">
      <c r="B84" s="91" t="s">
        <v>64</v>
      </c>
      <c r="C84" s="86">
        <f>0</f>
        <v>0</v>
      </c>
      <c r="D84" s="87"/>
      <c r="E84" s="86">
        <f>0</f>
        <v>0</v>
      </c>
      <c r="F84" s="87"/>
      <c r="G84" s="88"/>
      <c r="H84" s="89"/>
    </row>
    <row r="85" spans="2:8" ht="12.75">
      <c r="B85" s="91" t="s">
        <v>65</v>
      </c>
      <c r="C85" s="86">
        <f>829577732.18</f>
        <v>829577732.18</v>
      </c>
      <c r="D85" s="87"/>
      <c r="E85" s="86">
        <f>0</f>
        <v>0</v>
      </c>
      <c r="F85" s="87"/>
      <c r="G85" s="88"/>
      <c r="H85" s="89"/>
    </row>
    <row r="86" spans="2:8" ht="22.5">
      <c r="B86" s="91" t="s">
        <v>66</v>
      </c>
      <c r="C86" s="86">
        <f>0</f>
        <v>0</v>
      </c>
      <c r="D86" s="87"/>
      <c r="E86" s="86">
        <f>0</f>
        <v>0</v>
      </c>
      <c r="F86" s="87"/>
      <c r="G86" s="88"/>
      <c r="H86" s="89"/>
    </row>
    <row r="87" spans="2:8" ht="33.75">
      <c r="B87" s="91" t="s">
        <v>67</v>
      </c>
      <c r="C87" s="86">
        <f>25582274</f>
        <v>25582274</v>
      </c>
      <c r="D87" s="87"/>
      <c r="E87" s="86">
        <f>0</f>
        <v>0</v>
      </c>
      <c r="F87" s="87"/>
      <c r="G87" s="88"/>
      <c r="H87" s="89"/>
    </row>
    <row r="88" spans="2:8" ht="101.25">
      <c r="B88" s="91" t="s">
        <v>68</v>
      </c>
      <c r="C88" s="86">
        <f>891110286</f>
        <v>891110286</v>
      </c>
      <c r="D88" s="87"/>
      <c r="E88" s="86">
        <f>0</f>
        <v>0</v>
      </c>
      <c r="F88" s="87"/>
      <c r="G88" s="88"/>
      <c r="H88" s="89"/>
    </row>
    <row r="90" spans="2:6" ht="12.75">
      <c r="B90" s="70" t="s">
        <v>16</v>
      </c>
      <c r="C90" s="106" t="s">
        <v>94</v>
      </c>
      <c r="D90" s="93"/>
      <c r="E90" s="93"/>
      <c r="F90" s="94"/>
    </row>
    <row r="91" spans="2:6" ht="12.75">
      <c r="B91" s="37"/>
      <c r="C91" s="107" t="s">
        <v>59</v>
      </c>
      <c r="D91" s="108"/>
      <c r="E91" s="108"/>
      <c r="F91" s="109"/>
    </row>
    <row r="92" spans="2:6" ht="12.75">
      <c r="B92" s="35">
        <v>1</v>
      </c>
      <c r="C92" s="95">
        <v>2</v>
      </c>
      <c r="D92" s="96"/>
      <c r="E92" s="96"/>
      <c r="F92" s="97"/>
    </row>
    <row r="93" spans="2:6" ht="56.25">
      <c r="B93" s="51" t="s">
        <v>69</v>
      </c>
      <c r="C93" s="92">
        <f>170017509.64</f>
        <v>170017509.64</v>
      </c>
      <c r="D93" s="93"/>
      <c r="E93" s="93"/>
      <c r="F93" s="94"/>
    </row>
    <row r="94" spans="2:6" ht="41.25" customHeight="1">
      <c r="B94" s="45" t="s">
        <v>70</v>
      </c>
      <c r="C94" s="92">
        <f>33646282.26</f>
        <v>33646282.26</v>
      </c>
      <c r="D94" s="93"/>
      <c r="E94" s="93"/>
      <c r="F94" s="94"/>
    </row>
    <row r="95" spans="2:6" ht="45">
      <c r="B95" s="45" t="s">
        <v>71</v>
      </c>
      <c r="C95" s="92">
        <f>19698347.38</f>
        <v>19698347.38</v>
      </c>
      <c r="D95" s="93"/>
      <c r="E95" s="93"/>
      <c r="F95" s="94"/>
    </row>
    <row r="96" spans="2:6" ht="69" customHeight="1">
      <c r="B96" s="45" t="s">
        <v>72</v>
      </c>
      <c r="C96" s="92">
        <f>0</f>
        <v>0</v>
      </c>
      <c r="D96" s="93"/>
      <c r="E96" s="93"/>
      <c r="F96" s="94"/>
    </row>
    <row r="97" spans="2:6" ht="56.25">
      <c r="B97" s="45" t="s">
        <v>73</v>
      </c>
      <c r="C97" s="92">
        <f>116672880</f>
        <v>116672880</v>
      </c>
      <c r="D97" s="93"/>
      <c r="E97" s="93"/>
      <c r="F97" s="94"/>
    </row>
    <row r="98" spans="2:6" ht="56.25">
      <c r="B98" s="91" t="s">
        <v>74</v>
      </c>
      <c r="C98" s="92">
        <f>0</f>
        <v>0</v>
      </c>
      <c r="D98" s="93"/>
      <c r="E98" s="93"/>
      <c r="F98" s="94"/>
    </row>
    <row r="99" spans="2:6" ht="45">
      <c r="B99" s="91" t="s">
        <v>75</v>
      </c>
      <c r="C99" s="92">
        <f>0</f>
        <v>0</v>
      </c>
      <c r="D99" s="93"/>
      <c r="E99" s="93"/>
      <c r="F99" s="94"/>
    </row>
    <row r="100" spans="2:6" ht="90">
      <c r="B100" s="91" t="s">
        <v>92</v>
      </c>
      <c r="C100" s="92">
        <f>0</f>
        <v>0</v>
      </c>
      <c r="D100" s="93"/>
      <c r="E100" s="93"/>
      <c r="F100" s="94"/>
    </row>
    <row r="101" spans="2:6" ht="90">
      <c r="B101" s="91" t="s">
        <v>93</v>
      </c>
      <c r="C101" s="92">
        <f>0</f>
        <v>0</v>
      </c>
      <c r="D101" s="93"/>
      <c r="E101" s="93"/>
      <c r="F101" s="94"/>
    </row>
  </sheetData>
  <sheetProtection/>
  <mergeCells count="54">
    <mergeCell ref="C42:J42"/>
    <mergeCell ref="C3:E3"/>
    <mergeCell ref="C64:F64"/>
    <mergeCell ref="G64:H64"/>
    <mergeCell ref="L39:L41"/>
    <mergeCell ref="B2:B3"/>
    <mergeCell ref="C39:C41"/>
    <mergeCell ref="B39:B42"/>
    <mergeCell ref="K39:K41"/>
    <mergeCell ref="K42:L42"/>
    <mergeCell ref="I43:J43"/>
    <mergeCell ref="I46:J46"/>
    <mergeCell ref="I47:J47"/>
    <mergeCell ref="I44:J44"/>
    <mergeCell ref="I45:J45"/>
    <mergeCell ref="I48:J48"/>
    <mergeCell ref="B1:M1"/>
    <mergeCell ref="B61:M61"/>
    <mergeCell ref="I39:J41"/>
    <mergeCell ref="D39:D41"/>
    <mergeCell ref="E39:E41"/>
    <mergeCell ref="F40:F41"/>
    <mergeCell ref="F39:H39"/>
    <mergeCell ref="G40:H40"/>
    <mergeCell ref="F3:H3"/>
    <mergeCell ref="B37:M37"/>
    <mergeCell ref="I49:J49"/>
    <mergeCell ref="I50:J50"/>
    <mergeCell ref="I51:J51"/>
    <mergeCell ref="I53:J53"/>
    <mergeCell ref="I54:J54"/>
    <mergeCell ref="I52:J52"/>
    <mergeCell ref="C91:F91"/>
    <mergeCell ref="C80:D80"/>
    <mergeCell ref="E80:F80"/>
    <mergeCell ref="C81:F81"/>
    <mergeCell ref="G81:H81"/>
    <mergeCell ref="C90:F90"/>
    <mergeCell ref="I55:J55"/>
    <mergeCell ref="I58:J58"/>
    <mergeCell ref="I59:J59"/>
    <mergeCell ref="I60:J60"/>
    <mergeCell ref="C63:D63"/>
    <mergeCell ref="E63:F63"/>
    <mergeCell ref="C98:F98"/>
    <mergeCell ref="C99:F99"/>
    <mergeCell ref="C100:F100"/>
    <mergeCell ref="C101:F101"/>
    <mergeCell ref="C92:F92"/>
    <mergeCell ref="C93:F93"/>
    <mergeCell ref="C94:F94"/>
    <mergeCell ref="C95:F95"/>
    <mergeCell ref="C96:F96"/>
    <mergeCell ref="C97:F97"/>
  </mergeCells>
  <printOptions/>
  <pageMargins left="0.1968503937007874" right="0.1968503937007874" top="0.35433070866141736" bottom="0.3937007874015748" header="0.31496062992125984" footer="0.1968503937007874"/>
  <pageSetup horizontalDpi="600" verticalDpi="600" orientation="landscape" paperSize="9" scale="85" r:id="rId3"/>
  <headerFooter alignWithMargins="0">
    <oddFooter>&amp;RStrona &amp;P z &amp;N</oddFooter>
  </headerFooter>
  <rowBreaks count="3" manualBreakCount="3">
    <brk id="36" max="255" man="1"/>
    <brk id="60" max="255" man="1"/>
    <brk id="8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2015-04-29T09:53:24Z</cp:lastPrinted>
  <dcterms:created xsi:type="dcterms:W3CDTF">2001-05-17T08:58:03Z</dcterms:created>
  <dcterms:modified xsi:type="dcterms:W3CDTF">2019-11-21T09:46:01Z</dcterms:modified>
  <cp:category/>
  <cp:version/>
  <cp:contentType/>
  <cp:contentStatus/>
</cp:coreProperties>
</file>