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V kwartał\2025.03.18 dane ostateczne\Zbiorówki_2024_k4_2025.03.18\Publikacja\"/>
    </mc:Choice>
  </mc:AlternateContent>
  <xr:revisionPtr revIDLastSave="0" documentId="13_ncr:1_{F0072D56-AB32-43D9-8472-8DD1EC2E2A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7" i="7" l="1"/>
  <c r="B106" i="7"/>
  <c r="B105" i="7"/>
  <c r="B104" i="7"/>
  <c r="I101" i="7"/>
  <c r="G101" i="7"/>
  <c r="I100" i="7"/>
  <c r="G100" i="7"/>
  <c r="I99" i="7"/>
  <c r="G99" i="7"/>
  <c r="L93" i="7"/>
  <c r="K93" i="7"/>
  <c r="J93" i="7"/>
  <c r="I93" i="7"/>
  <c r="H93" i="7"/>
  <c r="G93" i="7"/>
  <c r="F93" i="7"/>
  <c r="L92" i="7"/>
  <c r="K92" i="7"/>
  <c r="J92" i="7"/>
  <c r="I92" i="7"/>
  <c r="H92" i="7"/>
  <c r="G92" i="7"/>
  <c r="F92" i="7"/>
  <c r="L91" i="7"/>
  <c r="K91" i="7"/>
  <c r="J91" i="7"/>
  <c r="I91" i="7"/>
  <c r="H91" i="7"/>
  <c r="G91" i="7"/>
  <c r="F91" i="7"/>
  <c r="L90" i="7"/>
  <c r="K90" i="7"/>
  <c r="J90" i="7"/>
  <c r="I90" i="7"/>
  <c r="H90" i="7"/>
  <c r="G90" i="7"/>
  <c r="F90" i="7"/>
  <c r="L89" i="7"/>
  <c r="K89" i="7"/>
  <c r="J89" i="7"/>
  <c r="I89" i="7"/>
  <c r="H89" i="7"/>
  <c r="G89" i="7"/>
  <c r="F89" i="7"/>
  <c r="L88" i="7"/>
  <c r="K88" i="7"/>
  <c r="J88" i="7"/>
  <c r="I88" i="7"/>
  <c r="H88" i="7"/>
  <c r="G88" i="7"/>
  <c r="F88" i="7"/>
  <c r="L87" i="7"/>
  <c r="K87" i="7"/>
  <c r="J87" i="7"/>
  <c r="I87" i="7"/>
  <c r="H87" i="7"/>
  <c r="G87" i="7"/>
  <c r="F87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B60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104" i="7" l="1"/>
  <c r="A34" i="7" l="1"/>
  <c r="A96" i="7"/>
  <c r="A1" i="7"/>
  <c r="A77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<sst xmlns="http://schemas.openxmlformats.org/spreadsheetml/2006/main" count="97" uniqueCount="81">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</sst>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5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10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4" fontId="7" fillId="20" borderId="10" xfId="37" applyNumberFormat="1" applyFont="1" applyFill="1" applyBorder="1" applyAlignment="1">
      <alignment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8" fillId="0" borderId="17" xfId="0" applyFont="1" applyFill="1" applyBorder="1" applyAlignment="1">
      <alignment horizontal="left" vertical="center" wrapText="1" indent="1"/>
    </xf>
    <xf numFmtId="0" fontId="28" fillId="0" borderId="18" xfId="0" applyFont="1" applyFill="1" applyBorder="1" applyAlignment="1">
      <alignment horizontal="left" vertical="center" wrapText="1" indent="1"/>
    </xf>
    <xf numFmtId="0" fontId="28" fillId="0" borderId="17" xfId="0" applyFont="1" applyFill="1" applyBorder="1" applyAlignment="1">
      <alignment horizontal="left" vertical="center" indent="1"/>
    </xf>
    <xf numFmtId="0" fontId="33" fillId="0" borderId="17" xfId="0" applyFont="1" applyFill="1" applyBorder="1" applyAlignment="1">
      <alignment vertical="center" wrapText="1"/>
    </xf>
    <xf numFmtId="0" fontId="33" fillId="0" borderId="17" xfId="0" applyFont="1" applyFill="1" applyBorder="1" applyAlignment="1">
      <alignment vertical="center"/>
    </xf>
    <xf numFmtId="0" fontId="32" fillId="0" borderId="17" xfId="0" applyFont="1" applyFill="1" applyBorder="1" applyAlignment="1">
      <alignment vertical="center"/>
    </xf>
    <xf numFmtId="0" fontId="28" fillId="0" borderId="10" xfId="0" applyFont="1" applyFill="1" applyBorder="1" applyAlignment="1">
      <alignment horizontal="left" vertical="center" inden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31" fillId="21" borderId="17" xfId="0" applyFont="1" applyFill="1" applyBorder="1" applyAlignment="1">
      <alignment wrapText="1"/>
    </xf>
    <xf numFmtId="0" fontId="31" fillId="21" borderId="18" xfId="0" applyFont="1" applyFill="1" applyBorder="1" applyAlignment="1">
      <alignment wrapText="1"/>
    </xf>
    <xf numFmtId="0" fontId="31" fillId="21" borderId="18" xfId="0" applyFont="1" applyFill="1" applyBorder="1" applyAlignment="1">
      <alignment vertical="center"/>
    </xf>
    <xf numFmtId="0" fontId="31" fillId="21" borderId="17" xfId="0" applyFont="1" applyFill="1" applyBorder="1" applyAlignment="1">
      <alignment horizontal="left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32" fillId="21" borderId="17" xfId="0" applyFont="1" applyFill="1" applyBorder="1" applyAlignment="1">
      <alignment vertical="center" wrapText="1"/>
    </xf>
    <xf numFmtId="4" fontId="7" fillId="21" borderId="10" xfId="37" applyNumberFormat="1" applyFont="1" applyFill="1" applyBorder="1" applyAlignment="1">
      <alignment vertical="center" wrapText="1"/>
    </xf>
    <xf numFmtId="4" fontId="2" fillId="19" borderId="15" xfId="37" applyNumberFormat="1" applyFont="1" applyFill="1" applyBorder="1" applyAlignment="1">
      <alignment horizontal="center" vertical="center" wrapText="1"/>
    </xf>
    <xf numFmtId="4" fontId="2" fillId="19" borderId="14" xfId="37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21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" fillId="19" borderId="21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34" fillId="0" borderId="0" xfId="37" applyFont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2" fillId="19" borderId="22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6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107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4.7109375" style="2" customWidth="1"/>
    <col min="4" max="4" width="13.28515625" style="2" customWidth="1"/>
    <col min="5" max="5" width="12.28515625" style="2" customWidth="1"/>
    <col min="6" max="6" width="11.85546875" style="2" customWidth="1"/>
    <col min="7" max="7" width="11" style="2" customWidth="1"/>
    <col min="8" max="8" width="11.140625" style="2" customWidth="1"/>
    <col min="9" max="9" width="12.28515625" style="2" customWidth="1"/>
    <col min="10" max="10" width="13.5703125" style="2" customWidth="1"/>
    <col min="11" max="11" width="12.140625" style="2" customWidth="1"/>
    <col min="12" max="12" width="13.28515625" style="2" customWidth="1"/>
    <col min="13" max="13" width="11.140625" style="2" bestFit="1" customWidth="1"/>
    <col min="14" max="14" width="11.28515625" style="2" bestFit="1" customWidth="1"/>
    <col min="15" max="15" width="9.28515625" style="2" bestFit="1" customWidth="1"/>
    <col min="16" max="16" width="7.5703125" style="2" bestFit="1" customWidth="1"/>
    <col min="17" max="17" width="9.85546875" style="2" bestFit="1" customWidth="1"/>
    <col min="18" max="16384" width="9.140625" style="2"/>
  </cols>
  <sheetData>
    <row r="1" spans="1:17" ht="75" customHeight="1" x14ac:dyDescent="0.2">
      <c r="A1" s="51" t="str">
        <f>CONCATENATE("Informacja z wykonania budżetów gmin za ",$C$104," ",$B$105," roku   ",$B$107,"")</f>
        <v xml:space="preserve">Informacja z wykonania budżetów gmin za IV Kwartały 2024 roku   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55" t="s">
        <v>64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5" spans="1:17" ht="13.5" customHeight="1" x14ac:dyDescent="0.2">
      <c r="B5" s="12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11"/>
      <c r="O5" s="11"/>
      <c r="P5" s="11"/>
      <c r="Q5" s="11"/>
    </row>
    <row r="6" spans="1:17" ht="13.5" customHeight="1" x14ac:dyDescent="0.2">
      <c r="A6" s="57" t="s">
        <v>0</v>
      </c>
      <c r="B6" s="56" t="s">
        <v>65</v>
      </c>
      <c r="C6" s="48" t="s">
        <v>69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50"/>
      <c r="O6" s="95" t="s">
        <v>68</v>
      </c>
      <c r="P6" s="96"/>
      <c r="Q6" s="97"/>
    </row>
    <row r="7" spans="1:17" ht="13.5" customHeight="1" x14ac:dyDescent="0.2">
      <c r="A7" s="58"/>
      <c r="B7" s="43"/>
      <c r="C7" s="44" t="s">
        <v>66</v>
      </c>
      <c r="D7" s="44" t="s">
        <v>77</v>
      </c>
      <c r="E7" s="44" t="s">
        <v>70</v>
      </c>
      <c r="F7" s="44" t="s">
        <v>71</v>
      </c>
      <c r="G7" s="44" t="s">
        <v>27</v>
      </c>
      <c r="H7" s="44" t="s">
        <v>28</v>
      </c>
      <c r="I7" s="60" t="s">
        <v>67</v>
      </c>
      <c r="J7" s="44" t="s">
        <v>16</v>
      </c>
      <c r="K7" s="44" t="s">
        <v>17</v>
      </c>
      <c r="L7" s="44" t="s">
        <v>18</v>
      </c>
      <c r="M7" s="44" t="s">
        <v>19</v>
      </c>
      <c r="N7" s="43" t="s">
        <v>20</v>
      </c>
      <c r="O7" s="47" t="s">
        <v>21</v>
      </c>
      <c r="P7" s="47" t="s">
        <v>22</v>
      </c>
      <c r="Q7" s="47" t="s">
        <v>23</v>
      </c>
    </row>
    <row r="8" spans="1:17" ht="13.5" customHeight="1" x14ac:dyDescent="0.2">
      <c r="A8" s="58"/>
      <c r="B8" s="43"/>
      <c r="C8" s="45"/>
      <c r="D8" s="45"/>
      <c r="E8" s="45"/>
      <c r="F8" s="45"/>
      <c r="G8" s="45"/>
      <c r="H8" s="45"/>
      <c r="I8" s="60"/>
      <c r="J8" s="45"/>
      <c r="K8" s="45"/>
      <c r="L8" s="45"/>
      <c r="M8" s="45"/>
      <c r="N8" s="43"/>
      <c r="O8" s="47"/>
      <c r="P8" s="47"/>
      <c r="Q8" s="47"/>
    </row>
    <row r="9" spans="1:17" ht="11.25" customHeight="1" x14ac:dyDescent="0.2">
      <c r="A9" s="58"/>
      <c r="B9" s="43"/>
      <c r="C9" s="45"/>
      <c r="D9" s="45"/>
      <c r="E9" s="45"/>
      <c r="F9" s="45"/>
      <c r="G9" s="45"/>
      <c r="H9" s="45"/>
      <c r="I9" s="60"/>
      <c r="J9" s="45"/>
      <c r="K9" s="45"/>
      <c r="L9" s="45"/>
      <c r="M9" s="45"/>
      <c r="N9" s="43"/>
      <c r="O9" s="47"/>
      <c r="P9" s="47"/>
      <c r="Q9" s="47"/>
    </row>
    <row r="10" spans="1:17" ht="16.5" customHeight="1" x14ac:dyDescent="0.2">
      <c r="A10" s="59"/>
      <c r="B10" s="44"/>
      <c r="C10" s="45"/>
      <c r="D10" s="45"/>
      <c r="E10" s="45"/>
      <c r="F10" s="45"/>
      <c r="G10" s="45"/>
      <c r="H10" s="45"/>
      <c r="I10" s="61"/>
      <c r="J10" s="45"/>
      <c r="K10" s="45"/>
      <c r="L10" s="45"/>
      <c r="M10" s="45"/>
      <c r="N10" s="44"/>
      <c r="O10" s="47"/>
      <c r="P10" s="47"/>
      <c r="Q10" s="47"/>
    </row>
    <row r="11" spans="1:17" ht="16.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36" t="s">
        <v>80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8"/>
      <c r="P12" s="38"/>
      <c r="Q12" s="39"/>
    </row>
    <row r="13" spans="1:17" ht="48" x14ac:dyDescent="0.2">
      <c r="A13" s="27" t="s">
        <v>46</v>
      </c>
      <c r="B13" s="28">
        <f>42684738073.09</f>
        <v>42684738073.089996</v>
      </c>
      <c r="C13" s="28">
        <f>42684736751.44</f>
        <v>42684736751.440002</v>
      </c>
      <c r="D13" s="28">
        <f>2661672362.6</f>
        <v>2661672362.5999999</v>
      </c>
      <c r="E13" s="28">
        <f>405353961.87</f>
        <v>405353961.87</v>
      </c>
      <c r="F13" s="28">
        <f>502009926.58</f>
        <v>502009926.57999998</v>
      </c>
      <c r="G13" s="28">
        <f>1752054709.92</f>
        <v>1752054709.9200001</v>
      </c>
      <c r="H13" s="28">
        <f>2253764.23</f>
        <v>2253764.23</v>
      </c>
      <c r="I13" s="28">
        <f>0</f>
        <v>0</v>
      </c>
      <c r="J13" s="28">
        <f>37908714024.43</f>
        <v>37908714024.43</v>
      </c>
      <c r="K13" s="28">
        <f>1870171235.72</f>
        <v>1870171235.72</v>
      </c>
      <c r="L13" s="28">
        <f>210456330.34</f>
        <v>210456330.34</v>
      </c>
      <c r="M13" s="28">
        <f>20537356.14</f>
        <v>20537356.140000001</v>
      </c>
      <c r="N13" s="28">
        <f>13185442.21</f>
        <v>13185442.210000001</v>
      </c>
      <c r="O13" s="28">
        <f>1321.65</f>
        <v>1321.65</v>
      </c>
      <c r="P13" s="28">
        <f>0</f>
        <v>0</v>
      </c>
      <c r="Q13" s="28">
        <f>1321.65</f>
        <v>1321.65</v>
      </c>
    </row>
    <row r="14" spans="1:17" ht="26.25" customHeight="1" x14ac:dyDescent="0.2">
      <c r="A14" s="29" t="s">
        <v>47</v>
      </c>
      <c r="B14" s="28">
        <f>968969000</f>
        <v>968969000</v>
      </c>
      <c r="C14" s="28">
        <f>968969000</f>
        <v>968969000</v>
      </c>
      <c r="D14" s="28">
        <f>0</f>
        <v>0</v>
      </c>
      <c r="E14" s="28">
        <f>0</f>
        <v>0</v>
      </c>
      <c r="F14" s="28">
        <f>0</f>
        <v>0</v>
      </c>
      <c r="G14" s="28">
        <f>0</f>
        <v>0</v>
      </c>
      <c r="H14" s="28">
        <f>0</f>
        <v>0</v>
      </c>
      <c r="I14" s="28">
        <f>0</f>
        <v>0</v>
      </c>
      <c r="J14" s="28">
        <f>933519000</f>
        <v>933519000</v>
      </c>
      <c r="K14" s="28">
        <f>35450000</f>
        <v>35450000</v>
      </c>
      <c r="L14" s="28">
        <f>0</f>
        <v>0</v>
      </c>
      <c r="M14" s="28">
        <f>0</f>
        <v>0</v>
      </c>
      <c r="N14" s="28">
        <f>0</f>
        <v>0</v>
      </c>
      <c r="O14" s="28">
        <f>0</f>
        <v>0</v>
      </c>
      <c r="P14" s="28">
        <f>0</f>
        <v>0</v>
      </c>
      <c r="Q14" s="28">
        <f>0</f>
        <v>0</v>
      </c>
    </row>
    <row r="15" spans="1:17" ht="27" customHeight="1" x14ac:dyDescent="0.2">
      <c r="A15" s="19" t="s">
        <v>48</v>
      </c>
      <c r="B15" s="33">
        <f>0</f>
        <v>0</v>
      </c>
      <c r="C15" s="33">
        <f>0</f>
        <v>0</v>
      </c>
      <c r="D15" s="33">
        <f>0</f>
        <v>0</v>
      </c>
      <c r="E15" s="33">
        <f>0</f>
        <v>0</v>
      </c>
      <c r="F15" s="33">
        <f>0</f>
        <v>0</v>
      </c>
      <c r="G15" s="33">
        <f>0</f>
        <v>0</v>
      </c>
      <c r="H15" s="33">
        <f>0</f>
        <v>0</v>
      </c>
      <c r="I15" s="33">
        <f>0</f>
        <v>0</v>
      </c>
      <c r="J15" s="33">
        <f>0</f>
        <v>0</v>
      </c>
      <c r="K15" s="33">
        <f>0</f>
        <v>0</v>
      </c>
      <c r="L15" s="33">
        <f>0</f>
        <v>0</v>
      </c>
      <c r="M15" s="33">
        <f>0</f>
        <v>0</v>
      </c>
      <c r="N15" s="33">
        <f>0</f>
        <v>0</v>
      </c>
      <c r="O15" s="33">
        <f>0</f>
        <v>0</v>
      </c>
      <c r="P15" s="33">
        <f>0</f>
        <v>0</v>
      </c>
      <c r="Q15" s="33">
        <f>0</f>
        <v>0</v>
      </c>
    </row>
    <row r="16" spans="1:17" ht="24" customHeight="1" x14ac:dyDescent="0.2">
      <c r="A16" s="19" t="s">
        <v>49</v>
      </c>
      <c r="B16" s="33">
        <f>968969000</f>
        <v>968969000</v>
      </c>
      <c r="C16" s="33">
        <f>968969000</f>
        <v>968969000</v>
      </c>
      <c r="D16" s="33">
        <f>0</f>
        <v>0</v>
      </c>
      <c r="E16" s="33">
        <f>0</f>
        <v>0</v>
      </c>
      <c r="F16" s="33">
        <f>0</f>
        <v>0</v>
      </c>
      <c r="G16" s="33">
        <f>0</f>
        <v>0</v>
      </c>
      <c r="H16" s="33">
        <f>0</f>
        <v>0</v>
      </c>
      <c r="I16" s="33">
        <f>0</f>
        <v>0</v>
      </c>
      <c r="J16" s="33">
        <f>933519000</f>
        <v>933519000</v>
      </c>
      <c r="K16" s="33">
        <f>35450000</f>
        <v>35450000</v>
      </c>
      <c r="L16" s="33">
        <f>0</f>
        <v>0</v>
      </c>
      <c r="M16" s="33">
        <f>0</f>
        <v>0</v>
      </c>
      <c r="N16" s="33">
        <f>0</f>
        <v>0</v>
      </c>
      <c r="O16" s="33">
        <f>0</f>
        <v>0</v>
      </c>
      <c r="P16" s="33">
        <f>0</f>
        <v>0</v>
      </c>
      <c r="Q16" s="33">
        <f>0</f>
        <v>0</v>
      </c>
    </row>
    <row r="17" spans="1:17" ht="31.5" customHeight="1" x14ac:dyDescent="0.2">
      <c r="A17" s="30" t="s">
        <v>50</v>
      </c>
      <c r="B17" s="28">
        <f>41655198610.81</f>
        <v>41655198610.809998</v>
      </c>
      <c r="C17" s="28">
        <f>41655198610.81</f>
        <v>41655198610.809998</v>
      </c>
      <c r="D17" s="28">
        <f>2646921859.97</f>
        <v>2646921859.9699998</v>
      </c>
      <c r="E17" s="28">
        <f>403837827.04</f>
        <v>403837827.04000002</v>
      </c>
      <c r="F17" s="28">
        <f>501901514.65</f>
        <v>501901514.64999998</v>
      </c>
      <c r="G17" s="28">
        <f>1741182518.28</f>
        <v>1741182518.28</v>
      </c>
      <c r="H17" s="28">
        <f>0</f>
        <v>0</v>
      </c>
      <c r="I17" s="28">
        <f>0</f>
        <v>0</v>
      </c>
      <c r="J17" s="28">
        <f>36975180528.58</f>
        <v>36975180528.580002</v>
      </c>
      <c r="K17" s="28">
        <f>1823812442.34</f>
        <v>1823812442.3399999</v>
      </c>
      <c r="L17" s="28">
        <f>187655886.85</f>
        <v>187655886.84999999</v>
      </c>
      <c r="M17" s="28">
        <f>9536628.91</f>
        <v>9536628.9100000001</v>
      </c>
      <c r="N17" s="28">
        <f>12091264.16</f>
        <v>12091264.16</v>
      </c>
      <c r="O17" s="28">
        <f>0</f>
        <v>0</v>
      </c>
      <c r="P17" s="28">
        <f>0</f>
        <v>0</v>
      </c>
      <c r="Q17" s="28">
        <f>0</f>
        <v>0</v>
      </c>
    </row>
    <row r="18" spans="1:17" ht="33" customHeight="1" x14ac:dyDescent="0.2">
      <c r="A18" s="20" t="s">
        <v>51</v>
      </c>
      <c r="B18" s="33">
        <f>211338058.61</f>
        <v>211338058.61000001</v>
      </c>
      <c r="C18" s="33">
        <f>211338058.61</f>
        <v>211338058.61000001</v>
      </c>
      <c r="D18" s="33">
        <f>69821718.56</f>
        <v>69821718.560000002</v>
      </c>
      <c r="E18" s="33">
        <f>59777035.69</f>
        <v>59777035.689999998</v>
      </c>
      <c r="F18" s="33">
        <f>2275948.55</f>
        <v>2275948.5499999998</v>
      </c>
      <c r="G18" s="33">
        <f>7768734.32</f>
        <v>7768734.3200000003</v>
      </c>
      <c r="H18" s="33">
        <f>0</f>
        <v>0</v>
      </c>
      <c r="I18" s="33">
        <f>0</f>
        <v>0</v>
      </c>
      <c r="J18" s="33">
        <f>136107370.09</f>
        <v>136107370.09</v>
      </c>
      <c r="K18" s="33">
        <f>4265000</f>
        <v>4265000</v>
      </c>
      <c r="L18" s="33">
        <f>50969.96</f>
        <v>50969.96</v>
      </c>
      <c r="M18" s="33">
        <f>893000</f>
        <v>893000</v>
      </c>
      <c r="N18" s="33">
        <f>200000</f>
        <v>200000</v>
      </c>
      <c r="O18" s="33">
        <f>0</f>
        <v>0</v>
      </c>
      <c r="P18" s="33">
        <f>0</f>
        <v>0</v>
      </c>
      <c r="Q18" s="33">
        <f>0</f>
        <v>0</v>
      </c>
    </row>
    <row r="19" spans="1:17" ht="25.5" customHeight="1" x14ac:dyDescent="0.2">
      <c r="A19" s="21" t="s">
        <v>52</v>
      </c>
      <c r="B19" s="33">
        <f>41443860552.2</f>
        <v>41443860552.199997</v>
      </c>
      <c r="C19" s="33">
        <f>41443860552.2</f>
        <v>41443860552.199997</v>
      </c>
      <c r="D19" s="33">
        <f>2577100141.41</f>
        <v>2577100141.4099998</v>
      </c>
      <c r="E19" s="33">
        <f>344060791.35</f>
        <v>344060791.35000002</v>
      </c>
      <c r="F19" s="33">
        <f>499625566.1</f>
        <v>499625566.10000002</v>
      </c>
      <c r="G19" s="33">
        <f>1733413783.96</f>
        <v>1733413783.96</v>
      </c>
      <c r="H19" s="33">
        <f>0</f>
        <v>0</v>
      </c>
      <c r="I19" s="33">
        <f>0</f>
        <v>0</v>
      </c>
      <c r="J19" s="33">
        <f>36839073158.49</f>
        <v>36839073158.489998</v>
      </c>
      <c r="K19" s="33">
        <f>1819547442.34</f>
        <v>1819547442.3399999</v>
      </c>
      <c r="L19" s="33">
        <f>187604916.89</f>
        <v>187604916.88999999</v>
      </c>
      <c r="M19" s="33">
        <f>8643628.91</f>
        <v>8643628.9100000001</v>
      </c>
      <c r="N19" s="33">
        <f>11891264.16</f>
        <v>11891264.16</v>
      </c>
      <c r="O19" s="33">
        <f>0</f>
        <v>0</v>
      </c>
      <c r="P19" s="33">
        <f>0</f>
        <v>0</v>
      </c>
      <c r="Q19" s="33">
        <f>0</f>
        <v>0</v>
      </c>
    </row>
    <row r="20" spans="1:17" ht="27.75" customHeight="1" x14ac:dyDescent="0.2">
      <c r="A20" s="31" t="s">
        <v>53</v>
      </c>
      <c r="B20" s="28">
        <f>1500000</f>
        <v>1500000</v>
      </c>
      <c r="C20" s="28">
        <f>1500000</f>
        <v>1500000</v>
      </c>
      <c r="D20" s="28">
        <f>1500000</f>
        <v>1500000</v>
      </c>
      <c r="E20" s="28">
        <f>0</f>
        <v>0</v>
      </c>
      <c r="F20" s="28">
        <f>0</f>
        <v>0</v>
      </c>
      <c r="G20" s="28">
        <f>1500000</f>
        <v>1500000</v>
      </c>
      <c r="H20" s="28">
        <f>0</f>
        <v>0</v>
      </c>
      <c r="I20" s="28">
        <f>0</f>
        <v>0</v>
      </c>
      <c r="J20" s="28">
        <f>0</f>
        <v>0</v>
      </c>
      <c r="K20" s="28">
        <f>0</f>
        <v>0</v>
      </c>
      <c r="L20" s="28">
        <f>0</f>
        <v>0</v>
      </c>
      <c r="M20" s="28">
        <f>0</f>
        <v>0</v>
      </c>
      <c r="N20" s="28">
        <f>0</f>
        <v>0</v>
      </c>
      <c r="O20" s="28">
        <f>0</f>
        <v>0</v>
      </c>
      <c r="P20" s="28">
        <f>0</f>
        <v>0</v>
      </c>
      <c r="Q20" s="28">
        <f>0</f>
        <v>0</v>
      </c>
    </row>
    <row r="21" spans="1:17" ht="36" x14ac:dyDescent="0.2">
      <c r="A21" s="32" t="s">
        <v>54</v>
      </c>
      <c r="B21" s="28">
        <f>59070462.28</f>
        <v>59070462.280000001</v>
      </c>
      <c r="C21" s="28">
        <f>59069140.63</f>
        <v>59069140.630000003</v>
      </c>
      <c r="D21" s="28">
        <f>13250502.63</f>
        <v>13250502.630000001</v>
      </c>
      <c r="E21" s="28">
        <f>1516134.83</f>
        <v>1516134.83</v>
      </c>
      <c r="F21" s="28">
        <f>108411.93</f>
        <v>108411.93</v>
      </c>
      <c r="G21" s="28">
        <f>9372191.64</f>
        <v>9372191.6400000006</v>
      </c>
      <c r="H21" s="28">
        <f>2253764.23</f>
        <v>2253764.23</v>
      </c>
      <c r="I21" s="28">
        <f>0</f>
        <v>0</v>
      </c>
      <c r="J21" s="28">
        <f>14495.85</f>
        <v>14495.85</v>
      </c>
      <c r="K21" s="28">
        <f>10908793.38</f>
        <v>10908793.380000001</v>
      </c>
      <c r="L21" s="28">
        <f>22800443.49</f>
        <v>22800443.489999998</v>
      </c>
      <c r="M21" s="28">
        <f>11000727.23</f>
        <v>11000727.23</v>
      </c>
      <c r="N21" s="28">
        <f>1094178.05</f>
        <v>1094178.05</v>
      </c>
      <c r="O21" s="28">
        <f>1321.65</f>
        <v>1321.65</v>
      </c>
      <c r="P21" s="28">
        <f>0</f>
        <v>0</v>
      </c>
      <c r="Q21" s="28">
        <f>1321.65</f>
        <v>1321.65</v>
      </c>
    </row>
    <row r="22" spans="1:17" ht="27" customHeight="1" x14ac:dyDescent="0.2">
      <c r="A22" s="19" t="s">
        <v>55</v>
      </c>
      <c r="B22" s="33">
        <f>35733451.28</f>
        <v>35733451.280000001</v>
      </c>
      <c r="C22" s="33">
        <f>35733451.28</f>
        <v>35733451.280000001</v>
      </c>
      <c r="D22" s="33">
        <f>3236958.66</f>
        <v>3236958.66</v>
      </c>
      <c r="E22" s="33">
        <f>0</f>
        <v>0</v>
      </c>
      <c r="F22" s="33">
        <f>1911.7</f>
        <v>1911.7</v>
      </c>
      <c r="G22" s="33">
        <f>3235046.96</f>
        <v>3235046.96</v>
      </c>
      <c r="H22" s="33">
        <f>0</f>
        <v>0</v>
      </c>
      <c r="I22" s="33">
        <f>0</f>
        <v>0</v>
      </c>
      <c r="J22" s="33">
        <f>0</f>
        <v>0</v>
      </c>
      <c r="K22" s="33">
        <f>10908793.38</f>
        <v>10908793.380000001</v>
      </c>
      <c r="L22" s="33">
        <f>16001059.79</f>
        <v>16001059.789999999</v>
      </c>
      <c r="M22" s="33">
        <f>4517547.76</f>
        <v>4517547.76</v>
      </c>
      <c r="N22" s="33">
        <f>1069091.69</f>
        <v>1069091.69</v>
      </c>
      <c r="O22" s="33">
        <f>0</f>
        <v>0</v>
      </c>
      <c r="P22" s="33">
        <f>0</f>
        <v>0</v>
      </c>
      <c r="Q22" s="33">
        <f>0</f>
        <v>0</v>
      </c>
    </row>
    <row r="23" spans="1:17" ht="31.5" customHeight="1" x14ac:dyDescent="0.2">
      <c r="A23" s="25" t="s">
        <v>56</v>
      </c>
      <c r="B23" s="33">
        <f>23337011</f>
        <v>23337011</v>
      </c>
      <c r="C23" s="33">
        <f>23335689.35</f>
        <v>23335689.350000001</v>
      </c>
      <c r="D23" s="33">
        <f>10013543.97</f>
        <v>10013543.970000001</v>
      </c>
      <c r="E23" s="33">
        <f>1516134.83</f>
        <v>1516134.83</v>
      </c>
      <c r="F23" s="33">
        <f>106500.23</f>
        <v>106500.23</v>
      </c>
      <c r="G23" s="33">
        <f>6137144.68</f>
        <v>6137144.6799999997</v>
      </c>
      <c r="H23" s="33">
        <f>2253764.23</f>
        <v>2253764.23</v>
      </c>
      <c r="I23" s="33">
        <f>0</f>
        <v>0</v>
      </c>
      <c r="J23" s="33">
        <f>14495.85</f>
        <v>14495.85</v>
      </c>
      <c r="K23" s="33">
        <f>0</f>
        <v>0</v>
      </c>
      <c r="L23" s="33">
        <f>6799383.7</f>
        <v>6799383.7000000002</v>
      </c>
      <c r="M23" s="33">
        <f>6483179.47</f>
        <v>6483179.4699999997</v>
      </c>
      <c r="N23" s="33">
        <f>25086.36</f>
        <v>25086.36</v>
      </c>
      <c r="O23" s="33">
        <f>1321.65</f>
        <v>1321.65</v>
      </c>
      <c r="P23" s="33">
        <f>0</f>
        <v>0</v>
      </c>
      <c r="Q23" s="33">
        <f>1321.65</f>
        <v>1321.65</v>
      </c>
    </row>
    <row r="24" spans="1:17" ht="19.5" customHeight="1" x14ac:dyDescent="0.2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19.5" customHeight="1" x14ac:dyDescent="0.2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9.5" customHeight="1" x14ac:dyDescent="0.2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9.5" customHeight="1" x14ac:dyDescent="0.2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9.5" customHeight="1" x14ac:dyDescent="0.2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ht="19.5" customHeight="1" x14ac:dyDescent="0.2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9.5" customHeight="1" x14ac:dyDescent="0.2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19.5" customHeight="1" x14ac:dyDescent="0.2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9.5" customHeight="1" x14ac:dyDescent="0.2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19.5" customHeight="1" x14ac:dyDescent="0.2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ht="45.75" customHeight="1" x14ac:dyDescent="0.2">
      <c r="A34" s="51" t="str">
        <f>CONCATENATE("Informacja z wykonania budżetów gmin za ",$C$104," ",$B$105," roku   ",$B$107,"")</f>
        <v xml:space="preserve">Informacja z wykonania budżetów gmin za IV Kwartały 2024 roku   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</row>
    <row r="36" spans="1:17" ht="13.5" customHeight="1" x14ac:dyDescent="0.2">
      <c r="A36" s="55" t="s">
        <v>11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8" spans="1:17" ht="13.5" customHeight="1" x14ac:dyDescent="0.2">
      <c r="A38" s="40" t="s">
        <v>0</v>
      </c>
      <c r="B38" s="56" t="s">
        <v>12</v>
      </c>
      <c r="C38" s="48" t="s">
        <v>14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50"/>
      <c r="O38" s="52" t="s">
        <v>24</v>
      </c>
      <c r="P38" s="53"/>
      <c r="Q38" s="54"/>
    </row>
    <row r="39" spans="1:17" ht="13.5" customHeight="1" x14ac:dyDescent="0.2">
      <c r="A39" s="41"/>
      <c r="B39" s="43"/>
      <c r="C39" s="43" t="s">
        <v>13</v>
      </c>
      <c r="D39" s="45" t="s">
        <v>15</v>
      </c>
      <c r="E39" s="45" t="s">
        <v>25</v>
      </c>
      <c r="F39" s="45" t="s">
        <v>26</v>
      </c>
      <c r="G39" s="45" t="s">
        <v>74</v>
      </c>
      <c r="H39" s="45" t="s">
        <v>28</v>
      </c>
      <c r="I39" s="45" t="s">
        <v>1</v>
      </c>
      <c r="J39" s="45" t="s">
        <v>16</v>
      </c>
      <c r="K39" s="45" t="s">
        <v>17</v>
      </c>
      <c r="L39" s="45" t="s">
        <v>18</v>
      </c>
      <c r="M39" s="45" t="s">
        <v>19</v>
      </c>
      <c r="N39" s="89" t="s">
        <v>20</v>
      </c>
      <c r="O39" s="47" t="s">
        <v>21</v>
      </c>
      <c r="P39" s="47" t="s">
        <v>22</v>
      </c>
      <c r="Q39" s="98" t="s">
        <v>23</v>
      </c>
    </row>
    <row r="40" spans="1:17" ht="11.25" customHeight="1" x14ac:dyDescent="0.2">
      <c r="A40" s="41"/>
      <c r="B40" s="43"/>
      <c r="C40" s="43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89"/>
      <c r="O40" s="47"/>
      <c r="P40" s="47"/>
      <c r="Q40" s="99"/>
    </row>
    <row r="41" spans="1:17" ht="32.25" customHeight="1" x14ac:dyDescent="0.2">
      <c r="A41" s="42"/>
      <c r="B41" s="44"/>
      <c r="C41" s="44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89"/>
      <c r="O41" s="47"/>
      <c r="P41" s="47"/>
      <c r="Q41" s="100"/>
    </row>
    <row r="42" spans="1:17" ht="12.75" customHeight="1" x14ac:dyDescent="0.2">
      <c r="A42" s="14">
        <v>1</v>
      </c>
      <c r="B42" s="14">
        <v>2</v>
      </c>
      <c r="C42" s="14">
        <v>3</v>
      </c>
      <c r="D42" s="14">
        <v>4</v>
      </c>
      <c r="E42" s="14">
        <v>5</v>
      </c>
      <c r="F42" s="14">
        <v>6</v>
      </c>
      <c r="G42" s="14">
        <v>7</v>
      </c>
      <c r="H42" s="14">
        <v>8</v>
      </c>
      <c r="I42" s="14">
        <v>9</v>
      </c>
      <c r="J42" s="14">
        <v>10</v>
      </c>
      <c r="K42" s="14">
        <v>11</v>
      </c>
      <c r="L42" s="14">
        <v>12</v>
      </c>
      <c r="M42" s="14">
        <v>13</v>
      </c>
      <c r="N42" s="14">
        <v>14</v>
      </c>
      <c r="O42" s="14">
        <v>15</v>
      </c>
      <c r="P42" s="14">
        <v>16</v>
      </c>
      <c r="Q42" s="14">
        <v>17</v>
      </c>
    </row>
    <row r="43" spans="1:17" ht="13.5" customHeight="1" x14ac:dyDescent="0.2">
      <c r="A43" s="14"/>
      <c r="B43" s="48" t="s">
        <v>80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50"/>
    </row>
    <row r="44" spans="1:17" ht="24.75" customHeight="1" x14ac:dyDescent="0.2">
      <c r="A44" s="34" t="s">
        <v>41</v>
      </c>
      <c r="B44" s="35">
        <f>5552019.55</f>
        <v>5552019.5499999998</v>
      </c>
      <c r="C44" s="35">
        <f>5552019.55</f>
        <v>5552019.5499999998</v>
      </c>
      <c r="D44" s="35">
        <f>80000</f>
        <v>80000</v>
      </c>
      <c r="E44" s="35">
        <f>0</f>
        <v>0</v>
      </c>
      <c r="F44" s="35">
        <f>80000</f>
        <v>80000</v>
      </c>
      <c r="G44" s="35">
        <f>0</f>
        <v>0</v>
      </c>
      <c r="H44" s="35">
        <f>0</f>
        <v>0</v>
      </c>
      <c r="I44" s="35">
        <f>0</f>
        <v>0</v>
      </c>
      <c r="J44" s="35">
        <f>236598.6</f>
        <v>236598.6</v>
      </c>
      <c r="K44" s="35">
        <f>4910</f>
        <v>4910</v>
      </c>
      <c r="L44" s="35">
        <f>2677635.55</f>
        <v>2677635.5499999998</v>
      </c>
      <c r="M44" s="35">
        <f>2254791.4</f>
        <v>2254791.4</v>
      </c>
      <c r="N44" s="35">
        <f>298084</f>
        <v>298084</v>
      </c>
      <c r="O44" s="35">
        <f>0</f>
        <v>0</v>
      </c>
      <c r="P44" s="35">
        <f>0</f>
        <v>0</v>
      </c>
      <c r="Q44" s="35">
        <f>0</f>
        <v>0</v>
      </c>
    </row>
    <row r="45" spans="1:17" ht="24.75" customHeight="1" x14ac:dyDescent="0.2">
      <c r="A45" s="23" t="s">
        <v>29</v>
      </c>
      <c r="B45" s="26">
        <f>731026.08</f>
        <v>731026.08</v>
      </c>
      <c r="C45" s="26">
        <f>731026.08</f>
        <v>731026.08</v>
      </c>
      <c r="D45" s="26">
        <f>80000</f>
        <v>80000</v>
      </c>
      <c r="E45" s="26">
        <f>0</f>
        <v>0</v>
      </c>
      <c r="F45" s="26">
        <f>80000</f>
        <v>80000</v>
      </c>
      <c r="G45" s="26">
        <f>0</f>
        <v>0</v>
      </c>
      <c r="H45" s="26">
        <f>0</f>
        <v>0</v>
      </c>
      <c r="I45" s="26">
        <f>0</f>
        <v>0</v>
      </c>
      <c r="J45" s="26">
        <f>0</f>
        <v>0</v>
      </c>
      <c r="K45" s="26">
        <f>0</f>
        <v>0</v>
      </c>
      <c r="L45" s="26">
        <f>135479.48</f>
        <v>135479.48000000001</v>
      </c>
      <c r="M45" s="26">
        <f>485546.6</f>
        <v>485546.6</v>
      </c>
      <c r="N45" s="26">
        <f>30000</f>
        <v>30000</v>
      </c>
      <c r="O45" s="15">
        <f>0</f>
        <v>0</v>
      </c>
      <c r="P45" s="15">
        <f>0</f>
        <v>0</v>
      </c>
      <c r="Q45" s="15">
        <f>0</f>
        <v>0</v>
      </c>
    </row>
    <row r="46" spans="1:17" ht="24.75" customHeight="1" x14ac:dyDescent="0.2">
      <c r="A46" s="23" t="s">
        <v>30</v>
      </c>
      <c r="B46" s="26">
        <f>4820993.47</f>
        <v>4820993.47</v>
      </c>
      <c r="C46" s="26">
        <f>4820993.47</f>
        <v>4820993.47</v>
      </c>
      <c r="D46" s="26">
        <f>0</f>
        <v>0</v>
      </c>
      <c r="E46" s="26">
        <f>0</f>
        <v>0</v>
      </c>
      <c r="F46" s="26">
        <f>0</f>
        <v>0</v>
      </c>
      <c r="G46" s="26">
        <f>0</f>
        <v>0</v>
      </c>
      <c r="H46" s="26">
        <f>0</f>
        <v>0</v>
      </c>
      <c r="I46" s="26">
        <f>0</f>
        <v>0</v>
      </c>
      <c r="J46" s="26">
        <f>236598.6</f>
        <v>236598.6</v>
      </c>
      <c r="K46" s="26">
        <f>4910</f>
        <v>4910</v>
      </c>
      <c r="L46" s="26">
        <f>2542156.07</f>
        <v>2542156.0699999998</v>
      </c>
      <c r="M46" s="26">
        <f>1769244.8</f>
        <v>1769244.8</v>
      </c>
      <c r="N46" s="26">
        <f>268084</f>
        <v>268084</v>
      </c>
      <c r="O46" s="15">
        <f>0</f>
        <v>0</v>
      </c>
      <c r="P46" s="15">
        <f>0</f>
        <v>0</v>
      </c>
      <c r="Q46" s="15">
        <f>0</f>
        <v>0</v>
      </c>
    </row>
    <row r="47" spans="1:17" ht="24.75" customHeight="1" x14ac:dyDescent="0.2">
      <c r="A47" s="24" t="s">
        <v>42</v>
      </c>
      <c r="B47" s="26">
        <f>508719619.48</f>
        <v>508719619.48000002</v>
      </c>
      <c r="C47" s="26">
        <f>508204497.59</f>
        <v>508204497.58999997</v>
      </c>
      <c r="D47" s="26">
        <f>28084910.85</f>
        <v>28084910.850000001</v>
      </c>
      <c r="E47" s="26">
        <f>17841.6</f>
        <v>17841.599999999999</v>
      </c>
      <c r="F47" s="26">
        <f>404048</f>
        <v>404048</v>
      </c>
      <c r="G47" s="26">
        <f>23360285.25</f>
        <v>23360285.25</v>
      </c>
      <c r="H47" s="26">
        <f>4302736</f>
        <v>4302736</v>
      </c>
      <c r="I47" s="26">
        <f>0</f>
        <v>0</v>
      </c>
      <c r="J47" s="26">
        <f>33519477.4</f>
        <v>33519477.399999999</v>
      </c>
      <c r="K47" s="26">
        <f>213001.6</f>
        <v>213001.60000000001</v>
      </c>
      <c r="L47" s="26">
        <f>221539802.34</f>
        <v>221539802.34</v>
      </c>
      <c r="M47" s="26">
        <f>197019306.32</f>
        <v>197019306.31999999</v>
      </c>
      <c r="N47" s="26">
        <f>27827999.08</f>
        <v>27827999.079999998</v>
      </c>
      <c r="O47" s="15">
        <f>515121.89</f>
        <v>515121.89</v>
      </c>
      <c r="P47" s="15">
        <f>43197.6</f>
        <v>43197.599999999999</v>
      </c>
      <c r="Q47" s="15">
        <f>471924.29</f>
        <v>471924.29</v>
      </c>
    </row>
    <row r="48" spans="1:17" ht="24.75" customHeight="1" x14ac:dyDescent="0.2">
      <c r="A48" s="23" t="s">
        <v>31</v>
      </c>
      <c r="B48" s="26">
        <f>47759414.66</f>
        <v>47759414.659999996</v>
      </c>
      <c r="C48" s="26">
        <f>47254475.59</f>
        <v>47254475.590000004</v>
      </c>
      <c r="D48" s="26">
        <f>3603457.38</f>
        <v>3603457.38</v>
      </c>
      <c r="E48" s="26">
        <f>0</f>
        <v>0</v>
      </c>
      <c r="F48" s="26">
        <f>0</f>
        <v>0</v>
      </c>
      <c r="G48" s="26">
        <f>3603457.38</f>
        <v>3603457.38</v>
      </c>
      <c r="H48" s="26">
        <f>0</f>
        <v>0</v>
      </c>
      <c r="I48" s="26">
        <f>0</f>
        <v>0</v>
      </c>
      <c r="J48" s="26">
        <f>5448500.42</f>
        <v>5448500.4199999999</v>
      </c>
      <c r="K48" s="26">
        <f>0</f>
        <v>0</v>
      </c>
      <c r="L48" s="26">
        <f>27544910.62</f>
        <v>27544910.620000001</v>
      </c>
      <c r="M48" s="26">
        <f>1374034.97</f>
        <v>1374034.97</v>
      </c>
      <c r="N48" s="26">
        <f>9283572.2</f>
        <v>9283572.1999999993</v>
      </c>
      <c r="O48" s="15">
        <f>504939.07</f>
        <v>504939.07</v>
      </c>
      <c r="P48" s="15">
        <f>33014.78</f>
        <v>33014.78</v>
      </c>
      <c r="Q48" s="15">
        <f>471924.29</f>
        <v>471924.29</v>
      </c>
    </row>
    <row r="49" spans="1:17" ht="24.75" customHeight="1" x14ac:dyDescent="0.2">
      <c r="A49" s="23" t="s">
        <v>32</v>
      </c>
      <c r="B49" s="26">
        <f>460960204.82</f>
        <v>460960204.81999999</v>
      </c>
      <c r="C49" s="26">
        <f>460950022</f>
        <v>460950022</v>
      </c>
      <c r="D49" s="26">
        <f>24481453.47</f>
        <v>24481453.469999999</v>
      </c>
      <c r="E49" s="26">
        <f>17841.6</f>
        <v>17841.599999999999</v>
      </c>
      <c r="F49" s="26">
        <f>404048</f>
        <v>404048</v>
      </c>
      <c r="G49" s="26">
        <f>19756827.87</f>
        <v>19756827.870000001</v>
      </c>
      <c r="H49" s="26">
        <f>4302736</f>
        <v>4302736</v>
      </c>
      <c r="I49" s="26">
        <f>0</f>
        <v>0</v>
      </c>
      <c r="J49" s="26">
        <f>28070976.98</f>
        <v>28070976.98</v>
      </c>
      <c r="K49" s="26">
        <f>213001.6</f>
        <v>213001.60000000001</v>
      </c>
      <c r="L49" s="26">
        <f>193994891.72</f>
        <v>193994891.72</v>
      </c>
      <c r="M49" s="26">
        <f>195645271.35</f>
        <v>195645271.34999999</v>
      </c>
      <c r="N49" s="26">
        <f>18544426.88</f>
        <v>18544426.879999999</v>
      </c>
      <c r="O49" s="15">
        <f>10182.82</f>
        <v>10182.82</v>
      </c>
      <c r="P49" s="15">
        <f>10182.82</f>
        <v>10182.82</v>
      </c>
      <c r="Q49" s="15">
        <f>0</f>
        <v>0</v>
      </c>
    </row>
    <row r="50" spans="1:17" ht="24.75" customHeight="1" x14ac:dyDescent="0.2">
      <c r="A50" s="34" t="s">
        <v>43</v>
      </c>
      <c r="B50" s="35">
        <f>47612679517.39</f>
        <v>47612679517.389999</v>
      </c>
      <c r="C50" s="35">
        <f>47612679517.39</f>
        <v>47612679517.389999</v>
      </c>
      <c r="D50" s="35">
        <f>1667238.55</f>
        <v>1667238.55</v>
      </c>
      <c r="E50" s="35">
        <f>408755.94</f>
        <v>408755.94</v>
      </c>
      <c r="F50" s="35">
        <f>9504.96</f>
        <v>9504.9599999999991</v>
      </c>
      <c r="G50" s="35">
        <f>1248977.65</f>
        <v>1248977.6499999999</v>
      </c>
      <c r="H50" s="35">
        <f>0</f>
        <v>0</v>
      </c>
      <c r="I50" s="35">
        <f>0</f>
        <v>0</v>
      </c>
      <c r="J50" s="35">
        <f>47599656596.36</f>
        <v>47599656596.360001</v>
      </c>
      <c r="K50" s="35">
        <f>211720.69</f>
        <v>211720.69</v>
      </c>
      <c r="L50" s="35">
        <f>11011868.94</f>
        <v>11011868.939999999</v>
      </c>
      <c r="M50" s="35">
        <f>132092.85</f>
        <v>132092.85</v>
      </c>
      <c r="N50" s="35">
        <f>0</f>
        <v>0</v>
      </c>
      <c r="O50" s="35">
        <f>0</f>
        <v>0</v>
      </c>
      <c r="P50" s="35">
        <f>0</f>
        <v>0</v>
      </c>
      <c r="Q50" s="35">
        <f>0</f>
        <v>0</v>
      </c>
    </row>
    <row r="51" spans="1:17" ht="24.75" customHeight="1" x14ac:dyDescent="0.2">
      <c r="A51" s="23" t="s">
        <v>33</v>
      </c>
      <c r="B51" s="26">
        <f>1177027.45</f>
        <v>1177027.45</v>
      </c>
      <c r="C51" s="26">
        <f>1177027.45</f>
        <v>1177027.45</v>
      </c>
      <c r="D51" s="26">
        <f>1177027.45</f>
        <v>1177027.45</v>
      </c>
      <c r="E51" s="26">
        <f>0</f>
        <v>0</v>
      </c>
      <c r="F51" s="26">
        <f>0</f>
        <v>0</v>
      </c>
      <c r="G51" s="26">
        <f>1177027.45</f>
        <v>1177027.45</v>
      </c>
      <c r="H51" s="26">
        <f>0</f>
        <v>0</v>
      </c>
      <c r="I51" s="26">
        <f>0</f>
        <v>0</v>
      </c>
      <c r="J51" s="26">
        <f>0</f>
        <v>0</v>
      </c>
      <c r="K51" s="26">
        <f>0</f>
        <v>0</v>
      </c>
      <c r="L51" s="26">
        <f>0</f>
        <v>0</v>
      </c>
      <c r="M51" s="26">
        <f>0</f>
        <v>0</v>
      </c>
      <c r="N51" s="26">
        <f>0</f>
        <v>0</v>
      </c>
      <c r="O51" s="15">
        <f>0</f>
        <v>0</v>
      </c>
      <c r="P51" s="15">
        <f>0</f>
        <v>0</v>
      </c>
      <c r="Q51" s="15">
        <f>0</f>
        <v>0</v>
      </c>
    </row>
    <row r="52" spans="1:17" ht="24.75" customHeight="1" x14ac:dyDescent="0.2">
      <c r="A52" s="23" t="s">
        <v>34</v>
      </c>
      <c r="B52" s="26">
        <f>46233075000.77</f>
        <v>46233075000.769997</v>
      </c>
      <c r="C52" s="26">
        <f>46233075000.77</f>
        <v>46233075000.769997</v>
      </c>
      <c r="D52" s="26">
        <f>80527.25</f>
        <v>80527.25</v>
      </c>
      <c r="E52" s="26">
        <f>73927.25</f>
        <v>73927.25</v>
      </c>
      <c r="F52" s="26">
        <f>6600</f>
        <v>6600</v>
      </c>
      <c r="G52" s="26">
        <f>0</f>
        <v>0</v>
      </c>
      <c r="H52" s="26">
        <f>0</f>
        <v>0</v>
      </c>
      <c r="I52" s="26">
        <f>0</f>
        <v>0</v>
      </c>
      <c r="J52" s="26">
        <f>46222051806.73</f>
        <v>46222051806.730003</v>
      </c>
      <c r="K52" s="26">
        <f>209214.37</f>
        <v>209214.37</v>
      </c>
      <c r="L52" s="26">
        <f>10731339.26</f>
        <v>10731339.26</v>
      </c>
      <c r="M52" s="26">
        <f>2113.16</f>
        <v>2113.16</v>
      </c>
      <c r="N52" s="26">
        <f>0</f>
        <v>0</v>
      </c>
      <c r="O52" s="15">
        <f>0</f>
        <v>0</v>
      </c>
      <c r="P52" s="15">
        <f>0</f>
        <v>0</v>
      </c>
      <c r="Q52" s="15">
        <f>0</f>
        <v>0</v>
      </c>
    </row>
    <row r="53" spans="1:17" ht="24.75" customHeight="1" x14ac:dyDescent="0.2">
      <c r="A53" s="23" t="s">
        <v>35</v>
      </c>
      <c r="B53" s="26">
        <f>1378427489.17</f>
        <v>1378427489.1700001</v>
      </c>
      <c r="C53" s="26">
        <f>1378427489.17</f>
        <v>1378427489.1700001</v>
      </c>
      <c r="D53" s="26">
        <f>409683.85</f>
        <v>409683.85</v>
      </c>
      <c r="E53" s="26">
        <f>334828.69</f>
        <v>334828.69</v>
      </c>
      <c r="F53" s="26">
        <f>2904.96</f>
        <v>2904.96</v>
      </c>
      <c r="G53" s="26">
        <f>71950.2</f>
        <v>71950.2</v>
      </c>
      <c r="H53" s="26">
        <f>0</f>
        <v>0</v>
      </c>
      <c r="I53" s="26">
        <f>0</f>
        <v>0</v>
      </c>
      <c r="J53" s="26">
        <f>1377604789.63</f>
        <v>1377604789.6300001</v>
      </c>
      <c r="K53" s="26">
        <f>2506.32</f>
        <v>2506.3200000000002</v>
      </c>
      <c r="L53" s="26">
        <f>280529.68</f>
        <v>280529.68</v>
      </c>
      <c r="M53" s="26">
        <f>129979.69</f>
        <v>129979.69</v>
      </c>
      <c r="N53" s="26">
        <f>0</f>
        <v>0</v>
      </c>
      <c r="O53" s="15">
        <f>0</f>
        <v>0</v>
      </c>
      <c r="P53" s="15">
        <f>0</f>
        <v>0</v>
      </c>
      <c r="Q53" s="15">
        <f>0</f>
        <v>0</v>
      </c>
    </row>
    <row r="54" spans="1:17" ht="24.75" customHeight="1" x14ac:dyDescent="0.2">
      <c r="A54" s="34" t="s">
        <v>44</v>
      </c>
      <c r="B54" s="35">
        <f>10213422615.23</f>
        <v>10213422615.23</v>
      </c>
      <c r="C54" s="35">
        <f>10184702979.34</f>
        <v>10184702979.34</v>
      </c>
      <c r="D54" s="35">
        <f>96289786.5</f>
        <v>96289786.5</v>
      </c>
      <c r="E54" s="35">
        <f>60325623.83</f>
        <v>60325623.829999998</v>
      </c>
      <c r="F54" s="35">
        <f>2839404.7</f>
        <v>2839404.7</v>
      </c>
      <c r="G54" s="35">
        <f>31728610.09</f>
        <v>31728610.09</v>
      </c>
      <c r="H54" s="35">
        <f>1396147.88</f>
        <v>1396147.88</v>
      </c>
      <c r="I54" s="35">
        <f>0</f>
        <v>0</v>
      </c>
      <c r="J54" s="35">
        <f>17949839.06</f>
        <v>17949839.059999999</v>
      </c>
      <c r="K54" s="35">
        <f>11511080.85</f>
        <v>11511080.85</v>
      </c>
      <c r="L54" s="35">
        <f>2225372123.65</f>
        <v>2225372123.6500001</v>
      </c>
      <c r="M54" s="35">
        <f>7771669110.73</f>
        <v>7771669110.7299995</v>
      </c>
      <c r="N54" s="35">
        <f>61911038.55</f>
        <v>61911038.549999997</v>
      </c>
      <c r="O54" s="35">
        <f>28719635.89</f>
        <v>28719635.890000001</v>
      </c>
      <c r="P54" s="35">
        <f>19564823.58</f>
        <v>19564823.579999998</v>
      </c>
      <c r="Q54" s="35">
        <f>9154812.31</f>
        <v>9154812.3100000005</v>
      </c>
    </row>
    <row r="55" spans="1:17" ht="24.75" customHeight="1" x14ac:dyDescent="0.2">
      <c r="A55" s="22" t="s">
        <v>36</v>
      </c>
      <c r="B55" s="26">
        <f>1410241018.44</f>
        <v>1410241018.4400001</v>
      </c>
      <c r="C55" s="26">
        <f>1409662898.32</f>
        <v>1409662898.3199999</v>
      </c>
      <c r="D55" s="26">
        <f>7229504.36</f>
        <v>7229504.3600000003</v>
      </c>
      <c r="E55" s="26">
        <f>1909414.35</f>
        <v>1909414.35</v>
      </c>
      <c r="F55" s="26">
        <f>47251.9</f>
        <v>47251.9</v>
      </c>
      <c r="G55" s="26">
        <f>4843145.78</f>
        <v>4843145.78</v>
      </c>
      <c r="H55" s="26">
        <f>429692.33</f>
        <v>429692.33</v>
      </c>
      <c r="I55" s="26">
        <f>0</f>
        <v>0</v>
      </c>
      <c r="J55" s="26">
        <f>784816.46</f>
        <v>784816.46</v>
      </c>
      <c r="K55" s="26">
        <f>1588649.15</f>
        <v>1588649.15</v>
      </c>
      <c r="L55" s="26">
        <f>290371861.82</f>
        <v>290371861.81999999</v>
      </c>
      <c r="M55" s="26">
        <f>1083093483.17</f>
        <v>1083093483.1700001</v>
      </c>
      <c r="N55" s="26">
        <f>26594583.36</f>
        <v>26594583.359999999</v>
      </c>
      <c r="O55" s="15">
        <f>578120.12</f>
        <v>578120.12</v>
      </c>
      <c r="P55" s="15">
        <f>333265.68</f>
        <v>333265.68</v>
      </c>
      <c r="Q55" s="15">
        <f>244854.44</f>
        <v>244854.44</v>
      </c>
    </row>
    <row r="56" spans="1:17" ht="24.75" customHeight="1" x14ac:dyDescent="0.2">
      <c r="A56" s="23" t="s">
        <v>37</v>
      </c>
      <c r="B56" s="26">
        <f>8803181596.79</f>
        <v>8803181596.7900009</v>
      </c>
      <c r="C56" s="26">
        <f>8775040081.02</f>
        <v>8775040081.0200005</v>
      </c>
      <c r="D56" s="26">
        <f>89060282.14</f>
        <v>89060282.140000001</v>
      </c>
      <c r="E56" s="26">
        <f>58416209.48</f>
        <v>58416209.479999997</v>
      </c>
      <c r="F56" s="26">
        <f>2792152.8</f>
        <v>2792152.8</v>
      </c>
      <c r="G56" s="26">
        <f>26885464.31</f>
        <v>26885464.309999999</v>
      </c>
      <c r="H56" s="26">
        <f>966455.55</f>
        <v>966455.55</v>
      </c>
      <c r="I56" s="26">
        <f>0</f>
        <v>0</v>
      </c>
      <c r="J56" s="26">
        <f>17165022.6</f>
        <v>17165022.600000001</v>
      </c>
      <c r="K56" s="26">
        <f>9922431.7</f>
        <v>9922431.6999999993</v>
      </c>
      <c r="L56" s="26">
        <f>1935000261.83</f>
        <v>1935000261.8299999</v>
      </c>
      <c r="M56" s="26">
        <f>6688575627.56</f>
        <v>6688575627.5600004</v>
      </c>
      <c r="N56" s="26">
        <f>35316455.19</f>
        <v>35316455.189999998</v>
      </c>
      <c r="O56" s="15">
        <f>28141515.77</f>
        <v>28141515.77</v>
      </c>
      <c r="P56" s="15">
        <f>19231557.9</f>
        <v>19231557.899999999</v>
      </c>
      <c r="Q56" s="15">
        <f>8909957.87</f>
        <v>8909957.8699999992</v>
      </c>
    </row>
    <row r="57" spans="1:17" ht="24.75" customHeight="1" x14ac:dyDescent="0.2">
      <c r="A57" s="34" t="s">
        <v>45</v>
      </c>
      <c r="B57" s="35">
        <f>2737358164.9</f>
        <v>2737358164.9000001</v>
      </c>
      <c r="C57" s="35">
        <f>2735131671.12</f>
        <v>2735131671.1199999</v>
      </c>
      <c r="D57" s="35">
        <f>562668695.47</f>
        <v>562668695.47000003</v>
      </c>
      <c r="E57" s="35">
        <f>394948335.22</f>
        <v>394948335.22000003</v>
      </c>
      <c r="F57" s="35">
        <f>7584247.44</f>
        <v>7584247.4400000004</v>
      </c>
      <c r="G57" s="35">
        <f>148784359.22</f>
        <v>148784359.22</v>
      </c>
      <c r="H57" s="35">
        <f>11351753.59</f>
        <v>11351753.59</v>
      </c>
      <c r="I57" s="35">
        <f>86.59</f>
        <v>86.59</v>
      </c>
      <c r="J57" s="35">
        <f>884609.14</f>
        <v>884609.14</v>
      </c>
      <c r="K57" s="35">
        <f>15233263.82</f>
        <v>15233263.82</v>
      </c>
      <c r="L57" s="35">
        <f>1255601586.59</f>
        <v>1255601586.5899999</v>
      </c>
      <c r="M57" s="35">
        <f>870897444.17</f>
        <v>870897444.16999996</v>
      </c>
      <c r="N57" s="35">
        <f>29845985.34</f>
        <v>29845985.34</v>
      </c>
      <c r="O57" s="35">
        <f>2226493.78</f>
        <v>2226493.7799999998</v>
      </c>
      <c r="P57" s="35">
        <f>2017062.18</f>
        <v>2017062.18</v>
      </c>
      <c r="Q57" s="35">
        <f>209431.6</f>
        <v>209431.6</v>
      </c>
    </row>
    <row r="58" spans="1:17" ht="30" customHeight="1" x14ac:dyDescent="0.2">
      <c r="A58" s="22" t="s">
        <v>38</v>
      </c>
      <c r="B58" s="26">
        <f>578596381.48</f>
        <v>578596381.48000002</v>
      </c>
      <c r="C58" s="26">
        <f>578286406.73</f>
        <v>578286406.73000002</v>
      </c>
      <c r="D58" s="26">
        <f>34092089.18</f>
        <v>34092089.18</v>
      </c>
      <c r="E58" s="26">
        <f>3434342.63</f>
        <v>3434342.63</v>
      </c>
      <c r="F58" s="26">
        <f>638798.6</f>
        <v>638798.6</v>
      </c>
      <c r="G58" s="26">
        <f>26077997.66</f>
        <v>26077997.66</v>
      </c>
      <c r="H58" s="26">
        <f>3940950.29</f>
        <v>3940950.29</v>
      </c>
      <c r="I58" s="26">
        <f>86.59</f>
        <v>86.59</v>
      </c>
      <c r="J58" s="26">
        <f>192874.94</f>
        <v>192874.94</v>
      </c>
      <c r="K58" s="26">
        <f>693076.94</f>
        <v>693076.94</v>
      </c>
      <c r="L58" s="26">
        <f>242556092.15</f>
        <v>242556092.15000001</v>
      </c>
      <c r="M58" s="26">
        <f>291367944.4</f>
        <v>291367944.39999998</v>
      </c>
      <c r="N58" s="26">
        <f>9384242.53</f>
        <v>9384242.5299999993</v>
      </c>
      <c r="O58" s="15">
        <f>309974.75</f>
        <v>309974.75</v>
      </c>
      <c r="P58" s="15">
        <f>108258.95</f>
        <v>108258.95</v>
      </c>
      <c r="Q58" s="15">
        <f>201715.8</f>
        <v>201715.8</v>
      </c>
    </row>
    <row r="59" spans="1:17" ht="36" x14ac:dyDescent="0.2">
      <c r="A59" s="22" t="s">
        <v>39</v>
      </c>
      <c r="B59" s="26">
        <f>389279115.64</f>
        <v>389279115.63999999</v>
      </c>
      <c r="C59" s="26">
        <f>389278958.64</f>
        <v>389278958.63999999</v>
      </c>
      <c r="D59" s="26">
        <f>96280445.54</f>
        <v>96280445.540000007</v>
      </c>
      <c r="E59" s="26">
        <f>84796792.83</f>
        <v>84796792.829999998</v>
      </c>
      <c r="F59" s="26">
        <f>267290.86</f>
        <v>267290.86</v>
      </c>
      <c r="G59" s="26">
        <f>9810863.83</f>
        <v>9810863.8300000001</v>
      </c>
      <c r="H59" s="26">
        <f>1405498.02</f>
        <v>1405498.02</v>
      </c>
      <c r="I59" s="26">
        <f>0</f>
        <v>0</v>
      </c>
      <c r="J59" s="26">
        <f>19423.9</f>
        <v>19423.900000000001</v>
      </c>
      <c r="K59" s="26">
        <f>2157060.5</f>
        <v>2157060.5</v>
      </c>
      <c r="L59" s="26">
        <f>175282676.8</f>
        <v>175282676.80000001</v>
      </c>
      <c r="M59" s="26">
        <f>114462476.93</f>
        <v>114462476.93000001</v>
      </c>
      <c r="N59" s="26">
        <f>1076874.97</f>
        <v>1076874.97</v>
      </c>
      <c r="O59" s="15">
        <f>157</f>
        <v>157</v>
      </c>
      <c r="P59" s="15">
        <f>157</f>
        <v>157</v>
      </c>
      <c r="Q59" s="15">
        <f>0</f>
        <v>0</v>
      </c>
    </row>
    <row r="60" spans="1:17" ht="30.75" customHeight="1" x14ac:dyDescent="0.2">
      <c r="A60" s="22" t="s">
        <v>40</v>
      </c>
      <c r="B60" s="26">
        <f>1769482667.78</f>
        <v>1769482667.78</v>
      </c>
      <c r="C60" s="26">
        <f>1767566305.75</f>
        <v>1767566305.75</v>
      </c>
      <c r="D60" s="26">
        <f>432296160.75</f>
        <v>432296160.75</v>
      </c>
      <c r="E60" s="26">
        <f>306717199.76</f>
        <v>306717199.75999999</v>
      </c>
      <c r="F60" s="26">
        <f>6678157.98</f>
        <v>6678157.9800000004</v>
      </c>
      <c r="G60" s="26">
        <f>112895497.73</f>
        <v>112895497.73</v>
      </c>
      <c r="H60" s="26">
        <f>6005305.28</f>
        <v>6005305.2800000003</v>
      </c>
      <c r="I60" s="26">
        <f>0</f>
        <v>0</v>
      </c>
      <c r="J60" s="26">
        <f>672310.3</f>
        <v>672310.3</v>
      </c>
      <c r="K60" s="26">
        <f>12383126.38</f>
        <v>12383126.380000001</v>
      </c>
      <c r="L60" s="26">
        <f>837762817.64</f>
        <v>837762817.63999999</v>
      </c>
      <c r="M60" s="26">
        <f>465067022.84</f>
        <v>465067022.83999997</v>
      </c>
      <c r="N60" s="26">
        <f>19384867.84</f>
        <v>19384867.84</v>
      </c>
      <c r="O60" s="15">
        <f>1916362.03</f>
        <v>1916362.03</v>
      </c>
      <c r="P60" s="15">
        <f>1908646.23</f>
        <v>1908646.23</v>
      </c>
      <c r="Q60" s="15">
        <f>7715.8</f>
        <v>7715.8</v>
      </c>
    </row>
    <row r="77" spans="1:13" ht="75" customHeight="1" x14ac:dyDescent="0.2">
      <c r="A77" s="51" t="str">
        <f>CONCATENATE("Informacja z wykonania budżetów gmin za ",$C$104," ",$B$105," roku   ",$B$107,"")</f>
        <v xml:space="preserve">Informacja z wykonania budżetów gmin za IV Kwartały 2024 roku   </v>
      </c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</row>
    <row r="78" spans="1:13" ht="13.5" customHeight="1" x14ac:dyDescent="0.2">
      <c r="B78" s="55" t="s">
        <v>2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</row>
    <row r="80" spans="1:13" ht="13.5" customHeight="1" x14ac:dyDescent="0.2">
      <c r="B80" s="80" t="s">
        <v>0</v>
      </c>
      <c r="C80" s="81"/>
      <c r="D80" s="81"/>
      <c r="E80" s="82"/>
      <c r="F80" s="90" t="s">
        <v>72</v>
      </c>
      <c r="G80" s="62" t="s">
        <v>78</v>
      </c>
      <c r="H80" s="63"/>
      <c r="I80" s="63"/>
      <c r="J80" s="63"/>
      <c r="K80" s="63"/>
      <c r="L80" s="64"/>
    </row>
    <row r="81" spans="1:13" ht="13.5" customHeight="1" x14ac:dyDescent="0.2">
      <c r="B81" s="83"/>
      <c r="C81" s="84"/>
      <c r="D81" s="84"/>
      <c r="E81" s="85"/>
      <c r="F81" s="91"/>
      <c r="G81" s="93" t="s">
        <v>73</v>
      </c>
      <c r="H81" s="46" t="s">
        <v>70</v>
      </c>
      <c r="I81" s="46" t="s">
        <v>71</v>
      </c>
      <c r="J81" s="46" t="s">
        <v>74</v>
      </c>
      <c r="K81" s="46" t="s">
        <v>75</v>
      </c>
      <c r="L81" s="94" t="s">
        <v>76</v>
      </c>
    </row>
    <row r="82" spans="1:13" ht="13.5" customHeight="1" x14ac:dyDescent="0.2">
      <c r="B82" s="83"/>
      <c r="C82" s="84"/>
      <c r="D82" s="84"/>
      <c r="E82" s="85"/>
      <c r="F82" s="91"/>
      <c r="G82" s="93"/>
      <c r="H82" s="46"/>
      <c r="I82" s="46"/>
      <c r="J82" s="46"/>
      <c r="K82" s="46"/>
      <c r="L82" s="94"/>
    </row>
    <row r="83" spans="1:13" ht="11.25" customHeight="1" x14ac:dyDescent="0.2">
      <c r="B83" s="83"/>
      <c r="C83" s="84"/>
      <c r="D83" s="84"/>
      <c r="E83" s="85"/>
      <c r="F83" s="91"/>
      <c r="G83" s="93"/>
      <c r="H83" s="46"/>
      <c r="I83" s="46"/>
      <c r="J83" s="46"/>
      <c r="K83" s="46"/>
      <c r="L83" s="94"/>
    </row>
    <row r="84" spans="1:13" ht="11.25" customHeight="1" x14ac:dyDescent="0.2">
      <c r="B84" s="86"/>
      <c r="C84" s="87"/>
      <c r="D84" s="87"/>
      <c r="E84" s="88"/>
      <c r="F84" s="92"/>
      <c r="G84" s="93"/>
      <c r="H84" s="46"/>
      <c r="I84" s="46"/>
      <c r="J84" s="46"/>
      <c r="K84" s="46"/>
      <c r="L84" s="94"/>
    </row>
    <row r="85" spans="1:13" ht="11.25" customHeight="1" x14ac:dyDescent="0.2">
      <c r="B85" s="46">
        <v>1</v>
      </c>
      <c r="C85" s="46"/>
      <c r="D85" s="46"/>
      <c r="E85" s="46"/>
      <c r="F85" s="3">
        <v>2</v>
      </c>
      <c r="G85" s="3">
        <v>3</v>
      </c>
      <c r="H85" s="3">
        <v>4</v>
      </c>
      <c r="I85" s="3">
        <v>5</v>
      </c>
      <c r="J85" s="3">
        <v>6</v>
      </c>
      <c r="K85" s="3">
        <v>7</v>
      </c>
      <c r="L85" s="13">
        <v>8</v>
      </c>
    </row>
    <row r="86" spans="1:13" ht="13.5" customHeight="1" x14ac:dyDescent="0.2">
      <c r="B86" s="46"/>
      <c r="C86" s="46"/>
      <c r="D86" s="46"/>
      <c r="E86" s="46"/>
      <c r="F86" s="62" t="s">
        <v>80</v>
      </c>
      <c r="G86" s="38"/>
      <c r="H86" s="38"/>
      <c r="I86" s="38"/>
      <c r="J86" s="38"/>
      <c r="K86" s="38"/>
      <c r="L86" s="39"/>
    </row>
    <row r="87" spans="1:13" ht="33.75" customHeight="1" x14ac:dyDescent="0.2">
      <c r="B87" s="73" t="s">
        <v>57</v>
      </c>
      <c r="C87" s="74"/>
      <c r="D87" s="74"/>
      <c r="E87" s="75"/>
      <c r="F87" s="33">
        <f>1119775904.86</f>
        <v>1119775904.8599999</v>
      </c>
      <c r="G87" s="33">
        <f>420201453.13</f>
        <v>420201453.13</v>
      </c>
      <c r="H87" s="33">
        <f>26422668.51</f>
        <v>26422668.510000002</v>
      </c>
      <c r="I87" s="33">
        <f>150635560.87</f>
        <v>150635560.87</v>
      </c>
      <c r="J87" s="33">
        <f>183966964.5</f>
        <v>183966964.5</v>
      </c>
      <c r="K87" s="33">
        <f>59176259.25</f>
        <v>59176259.25</v>
      </c>
      <c r="L87" s="33">
        <f>699574451.73</f>
        <v>699574451.73000002</v>
      </c>
    </row>
    <row r="88" spans="1:13" ht="33.75" customHeight="1" x14ac:dyDescent="0.2">
      <c r="B88" s="73" t="s">
        <v>58</v>
      </c>
      <c r="C88" s="74"/>
      <c r="D88" s="74"/>
      <c r="E88" s="75"/>
      <c r="F88" s="33">
        <f>12761038.22</f>
        <v>12761038.220000001</v>
      </c>
      <c r="G88" s="33">
        <f>849459</f>
        <v>849459</v>
      </c>
      <c r="H88" s="33">
        <f>489495</f>
        <v>489495</v>
      </c>
      <c r="I88" s="33">
        <f>0</f>
        <v>0</v>
      </c>
      <c r="J88" s="33">
        <f>359964</f>
        <v>359964</v>
      </c>
      <c r="K88" s="33">
        <f>0</f>
        <v>0</v>
      </c>
      <c r="L88" s="33">
        <f>11911579.22</f>
        <v>11911579.220000001</v>
      </c>
    </row>
    <row r="89" spans="1:13" ht="33.75" customHeight="1" x14ac:dyDescent="0.2">
      <c r="B89" s="73" t="s">
        <v>59</v>
      </c>
      <c r="C89" s="74"/>
      <c r="D89" s="74"/>
      <c r="E89" s="75"/>
      <c r="F89" s="33">
        <f>209366271.42</f>
        <v>209366271.41999999</v>
      </c>
      <c r="G89" s="33">
        <f>43999072.7</f>
        <v>43999072.700000003</v>
      </c>
      <c r="H89" s="33">
        <f>2000000</f>
        <v>2000000</v>
      </c>
      <c r="I89" s="33">
        <f>15140893</f>
        <v>15140893</v>
      </c>
      <c r="J89" s="33">
        <f>26748593.66</f>
        <v>26748593.66</v>
      </c>
      <c r="K89" s="33">
        <f>109586.04</f>
        <v>109586.04</v>
      </c>
      <c r="L89" s="33">
        <f>165367198.72</f>
        <v>165367198.72</v>
      </c>
    </row>
    <row r="90" spans="1:13" ht="22.5" customHeight="1" x14ac:dyDescent="0.2">
      <c r="B90" s="73" t="s">
        <v>60</v>
      </c>
      <c r="C90" s="74"/>
      <c r="D90" s="74"/>
      <c r="E90" s="75"/>
      <c r="F90" s="33">
        <f>7172608.83</f>
        <v>7172608.8300000001</v>
      </c>
      <c r="G90" s="33">
        <f>0</f>
        <v>0</v>
      </c>
      <c r="H90" s="33">
        <f>0</f>
        <v>0</v>
      </c>
      <c r="I90" s="33">
        <f>0</f>
        <v>0</v>
      </c>
      <c r="J90" s="33">
        <f>0</f>
        <v>0</v>
      </c>
      <c r="K90" s="33">
        <f>0</f>
        <v>0</v>
      </c>
      <c r="L90" s="33">
        <f>7172608.83</f>
        <v>7172608.8300000001</v>
      </c>
    </row>
    <row r="91" spans="1:13" ht="33.75" customHeight="1" x14ac:dyDescent="0.2">
      <c r="B91" s="73" t="s">
        <v>61</v>
      </c>
      <c r="C91" s="74"/>
      <c r="D91" s="74"/>
      <c r="E91" s="75"/>
      <c r="F91" s="33">
        <f>27376.03</f>
        <v>27376.03</v>
      </c>
      <c r="G91" s="33">
        <f>0</f>
        <v>0</v>
      </c>
      <c r="H91" s="33">
        <f>0</f>
        <v>0</v>
      </c>
      <c r="I91" s="33">
        <f>0</f>
        <v>0</v>
      </c>
      <c r="J91" s="33">
        <f>0</f>
        <v>0</v>
      </c>
      <c r="K91" s="33">
        <f>0</f>
        <v>0</v>
      </c>
      <c r="L91" s="33">
        <f>27376.03</f>
        <v>27376.03</v>
      </c>
    </row>
    <row r="92" spans="1:13" ht="33.75" customHeight="1" x14ac:dyDescent="0.2">
      <c r="B92" s="73" t="s">
        <v>62</v>
      </c>
      <c r="C92" s="74"/>
      <c r="D92" s="74"/>
      <c r="E92" s="75"/>
      <c r="F92" s="33">
        <f>1455629.03</f>
        <v>1455629.03</v>
      </c>
      <c r="G92" s="33">
        <f>0</f>
        <v>0</v>
      </c>
      <c r="H92" s="33">
        <f>0</f>
        <v>0</v>
      </c>
      <c r="I92" s="33">
        <f>0</f>
        <v>0</v>
      </c>
      <c r="J92" s="33">
        <f>0</f>
        <v>0</v>
      </c>
      <c r="K92" s="33">
        <f>0</f>
        <v>0</v>
      </c>
      <c r="L92" s="33">
        <f>1455629.03</f>
        <v>1455629.03</v>
      </c>
    </row>
    <row r="93" spans="1:13" ht="22.5" customHeight="1" x14ac:dyDescent="0.2">
      <c r="B93" s="73" t="s">
        <v>63</v>
      </c>
      <c r="C93" s="74"/>
      <c r="D93" s="74"/>
      <c r="E93" s="75"/>
      <c r="F93" s="33">
        <f>120000</f>
        <v>120000</v>
      </c>
      <c r="G93" s="33">
        <f>0</f>
        <v>0</v>
      </c>
      <c r="H93" s="33">
        <f>0</f>
        <v>0</v>
      </c>
      <c r="I93" s="33">
        <f>0</f>
        <v>0</v>
      </c>
      <c r="J93" s="33">
        <f>0</f>
        <v>0</v>
      </c>
      <c r="K93" s="33">
        <f>0</f>
        <v>0</v>
      </c>
      <c r="L93" s="33">
        <f>120000</f>
        <v>120000</v>
      </c>
    </row>
    <row r="96" spans="1:13" ht="75" customHeight="1" x14ac:dyDescent="0.2">
      <c r="A96" s="51" t="str">
        <f>CONCATENATE("Informacja z wykonania budżetów gmin za ",$C$104," ",$B$105," roku   ",$B$107,"")</f>
        <v xml:space="preserve">Informacja z wykonania budżetów gmin za IV Kwartały 2024 roku   </v>
      </c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</row>
    <row r="97" spans="1:11" ht="13.5" customHeight="1" x14ac:dyDescent="0.2">
      <c r="B97" s="4"/>
    </row>
    <row r="98" spans="1:11" ht="13.5" customHeight="1" x14ac:dyDescent="0.2">
      <c r="B98" s="5"/>
      <c r="C98" s="62"/>
      <c r="D98" s="63"/>
      <c r="E98" s="63"/>
      <c r="F98" s="64"/>
      <c r="G98" s="62" t="s">
        <v>3</v>
      </c>
      <c r="H98" s="64"/>
      <c r="I98" s="62" t="s">
        <v>4</v>
      </c>
      <c r="J98" s="64"/>
      <c r="K98" s="5"/>
    </row>
    <row r="99" spans="1:11" ht="13.5" customHeight="1" x14ac:dyDescent="0.2">
      <c r="B99" s="6"/>
      <c r="C99" s="70" t="s">
        <v>5</v>
      </c>
      <c r="D99" s="71"/>
      <c r="E99" s="71"/>
      <c r="F99" s="72"/>
      <c r="G99" s="66">
        <f>1014</f>
        <v>1014</v>
      </c>
      <c r="H99" s="67"/>
      <c r="I99" s="68">
        <f>4155788354.46</f>
        <v>4155788354.46</v>
      </c>
      <c r="J99" s="69"/>
      <c r="K99" s="7"/>
    </row>
    <row r="100" spans="1:11" ht="13.5" customHeight="1" x14ac:dyDescent="0.2">
      <c r="B100" s="6"/>
      <c r="C100" s="73" t="s">
        <v>6</v>
      </c>
      <c r="D100" s="74"/>
      <c r="E100" s="74"/>
      <c r="F100" s="75"/>
      <c r="G100" s="76">
        <f>1397</f>
        <v>1397</v>
      </c>
      <c r="H100" s="77"/>
      <c r="I100" s="78">
        <f>-6064909272.17999</f>
        <v>-6064909272.1799898</v>
      </c>
      <c r="J100" s="79"/>
      <c r="K100" s="7"/>
    </row>
    <row r="101" spans="1:11" ht="13.5" customHeight="1" x14ac:dyDescent="0.2">
      <c r="B101" s="6"/>
      <c r="C101" s="70" t="s">
        <v>7</v>
      </c>
      <c r="D101" s="71"/>
      <c r="E101" s="71"/>
      <c r="F101" s="72"/>
      <c r="G101" s="66">
        <f>0</f>
        <v>0</v>
      </c>
      <c r="H101" s="67"/>
      <c r="I101" s="68">
        <f>0</f>
        <v>0</v>
      </c>
      <c r="J101" s="69"/>
      <c r="K101" s="7"/>
    </row>
    <row r="104" spans="1:11" ht="13.5" customHeight="1" x14ac:dyDescent="0.2">
      <c r="A104" s="8" t="s">
        <v>8</v>
      </c>
      <c r="B104" s="8">
        <f>4</f>
        <v>4</v>
      </c>
      <c r="C104" s="8" t="str">
        <f>IF(B104=1,"I Kwartał",IF(B104=2,"II Kwartały",IF(B104=3,"III Kwartały",IF(B104=4,"IV Kwartały","-"))))</f>
        <v>IV Kwartały</v>
      </c>
    </row>
    <row r="105" spans="1:11" ht="13.5" customHeight="1" x14ac:dyDescent="0.2">
      <c r="A105" s="8" t="s">
        <v>9</v>
      </c>
      <c r="B105" s="8">
        <f>2024</f>
        <v>2024</v>
      </c>
      <c r="C105" s="9"/>
    </row>
    <row r="106" spans="1:11" ht="13.5" customHeight="1" x14ac:dyDescent="0.2">
      <c r="A106" s="8" t="s">
        <v>10</v>
      </c>
      <c r="B106" s="10" t="str">
        <f>"Mar 18 2025 12:00AM"</f>
        <v>Mar 18 2025 12:00AM</v>
      </c>
      <c r="C106" s="9"/>
    </row>
    <row r="107" spans="1:11" ht="13.5" customHeight="1" x14ac:dyDescent="0.2">
      <c r="A107" s="16" t="s">
        <v>79</v>
      </c>
      <c r="B107" s="10" t="str">
        <f>""</f>
        <v/>
      </c>
    </row>
  </sheetData>
  <mergeCells count="79">
    <mergeCell ref="O6:Q6"/>
    <mergeCell ref="O7:O10"/>
    <mergeCell ref="A77:M77"/>
    <mergeCell ref="L39:L41"/>
    <mergeCell ref="P39:P41"/>
    <mergeCell ref="Q39:Q41"/>
    <mergeCell ref="B86:E86"/>
    <mergeCell ref="B80:E84"/>
    <mergeCell ref="B93:E93"/>
    <mergeCell ref="A96:M96"/>
    <mergeCell ref="B89:E89"/>
    <mergeCell ref="B90:E90"/>
    <mergeCell ref="B91:E91"/>
    <mergeCell ref="B92:E92"/>
    <mergeCell ref="B88:E88"/>
    <mergeCell ref="B87:E87"/>
    <mergeCell ref="F80:F84"/>
    <mergeCell ref="G81:G84"/>
    <mergeCell ref="B85:E85"/>
    <mergeCell ref="F86:L86"/>
    <mergeCell ref="L81:L84"/>
    <mergeCell ref="G101:H101"/>
    <mergeCell ref="I101:J101"/>
    <mergeCell ref="C98:F98"/>
    <mergeCell ref="C99:F99"/>
    <mergeCell ref="C100:F100"/>
    <mergeCell ref="C101:F101"/>
    <mergeCell ref="G99:H99"/>
    <mergeCell ref="G98:H98"/>
    <mergeCell ref="G100:H100"/>
    <mergeCell ref="I100:J100"/>
    <mergeCell ref="I99:J99"/>
    <mergeCell ref="I98:J98"/>
    <mergeCell ref="A1:M1"/>
    <mergeCell ref="C5:M5"/>
    <mergeCell ref="A3:M3"/>
    <mergeCell ref="K7:K10"/>
    <mergeCell ref="C7:C10"/>
    <mergeCell ref="H7:H10"/>
    <mergeCell ref="I7:I10"/>
    <mergeCell ref="J7:J10"/>
    <mergeCell ref="G80:L80"/>
    <mergeCell ref="H81:H84"/>
    <mergeCell ref="I81:I84"/>
    <mergeCell ref="J81:J84"/>
    <mergeCell ref="B78:M78"/>
    <mergeCell ref="D39:D41"/>
    <mergeCell ref="M39:M41"/>
    <mergeCell ref="B43:Q43"/>
    <mergeCell ref="Q7:Q10"/>
    <mergeCell ref="C38:N38"/>
    <mergeCell ref="L7:L10"/>
    <mergeCell ref="M7:M10"/>
    <mergeCell ref="N7:N10"/>
    <mergeCell ref="P7:P10"/>
    <mergeCell ref="A34:M34"/>
    <mergeCell ref="O38:Q38"/>
    <mergeCell ref="A36:M36"/>
    <mergeCell ref="B6:B10"/>
    <mergeCell ref="A6:A10"/>
    <mergeCell ref="C6:N6"/>
    <mergeCell ref="D7:D10"/>
    <mergeCell ref="E7:E10"/>
    <mergeCell ref="G7:G10"/>
    <mergeCell ref="F7:F10"/>
    <mergeCell ref="B12:Q12"/>
    <mergeCell ref="A38:A41"/>
    <mergeCell ref="C39:C41"/>
    <mergeCell ref="E39:E41"/>
    <mergeCell ref="K81:K84"/>
    <mergeCell ref="F39:F41"/>
    <mergeCell ref="G39:G41"/>
    <mergeCell ref="H39:H41"/>
    <mergeCell ref="K39:K41"/>
    <mergeCell ref="I39:I41"/>
    <mergeCell ref="J39:J41"/>
    <mergeCell ref="B38:B41"/>
    <mergeCell ref="N39:N41"/>
    <mergeCell ref="O39:O41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33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2016-08-26T11:23:29Z</cp:lastPrinted>
  <dcterms:created xsi:type="dcterms:W3CDTF">2001-05-17T08:58:03Z</dcterms:created>
  <dcterms:modified xsi:type="dcterms:W3CDTF">2025-03-28T13:59:01Z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2025-03-28T14:59:00.8150823+01:00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GRN-c0f4d323-fcf3-493a-a588-c8018206b3ff</vt:lpwstr>
  </property>
  <property fmtid="{D5CDD505-2E9C-101B-9397-08002B2CF9AE}" pid="7" name="MFHash">
    <vt:lpwstr>/XQjmksJgp7KN9AlPSH9cmkzkEg5BYfe7ynbDaauPpw=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