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d:\HHCY\Documents\```ST7\Besti@\2025\II kwartał\2025.08.15 Dane ostateczne\Zbiorówki_2025_k2_2025.08.15\Publikacja\"/>
    </mc:Choice>
  </mc:AlternateContent>
  <xr:revisionPtr revIDLastSave="0" documentId="13_ncr:1_{16D94F76-D7DA-4D2E-89DA-A6E573306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8" i="4" l="1"/>
  <c r="C117" i="4"/>
  <c r="C116" i="4"/>
  <c r="C115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D105" i="4"/>
  <c r="C105" i="4"/>
  <c r="D100" i="4"/>
  <c r="C100" i="4"/>
  <c r="D99" i="4"/>
  <c r="C99" i="4"/>
  <c r="D98" i="4"/>
  <c r="C98" i="4"/>
  <c r="D97" i="4"/>
  <c r="J97" i="4" s="1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J87" i="4" s="1"/>
  <c r="C87" i="4"/>
  <c r="D86" i="4"/>
  <c r="C86" i="4"/>
  <c r="D85" i="4"/>
  <c r="C85" i="4"/>
  <c r="D84" i="4"/>
  <c r="C84" i="4"/>
  <c r="I77" i="4"/>
  <c r="H77" i="4"/>
  <c r="G77" i="4"/>
  <c r="F77" i="4"/>
  <c r="E77" i="4"/>
  <c r="D77" i="4"/>
  <c r="C77" i="4"/>
  <c r="I76" i="4"/>
  <c r="H76" i="4"/>
  <c r="G76" i="4"/>
  <c r="F76" i="4"/>
  <c r="E76" i="4"/>
  <c r="D76" i="4"/>
  <c r="C76" i="4"/>
  <c r="G72" i="4"/>
  <c r="F72" i="4"/>
  <c r="E72" i="4"/>
  <c r="D72" i="4"/>
  <c r="C72" i="4"/>
  <c r="G71" i="4"/>
  <c r="F71" i="4"/>
  <c r="E71" i="4"/>
  <c r="D71" i="4"/>
  <c r="C71" i="4"/>
  <c r="G67" i="4"/>
  <c r="F67" i="4"/>
  <c r="E67" i="4"/>
  <c r="D67" i="4"/>
  <c r="C67" i="4"/>
  <c r="G66" i="4"/>
  <c r="F66" i="4"/>
  <c r="E66" i="4"/>
  <c r="D66" i="4"/>
  <c r="C66" i="4"/>
  <c r="I58" i="4"/>
  <c r="H58" i="4"/>
  <c r="G58" i="4"/>
  <c r="F58" i="4"/>
  <c r="E58" i="4"/>
  <c r="D58" i="4"/>
  <c r="C58" i="4"/>
  <c r="I57" i="4"/>
  <c r="H57" i="4"/>
  <c r="G57" i="4"/>
  <c r="F57" i="4"/>
  <c r="E57" i="4"/>
  <c r="D57" i="4"/>
  <c r="C57" i="4"/>
  <c r="I56" i="4"/>
  <c r="H56" i="4"/>
  <c r="G56" i="4"/>
  <c r="F56" i="4"/>
  <c r="E56" i="4"/>
  <c r="D56" i="4"/>
  <c r="C56" i="4"/>
  <c r="I55" i="4"/>
  <c r="H55" i="4"/>
  <c r="G55" i="4"/>
  <c r="F55" i="4"/>
  <c r="E55" i="4"/>
  <c r="D55" i="4"/>
  <c r="C55" i="4"/>
  <c r="I54" i="4"/>
  <c r="H54" i="4"/>
  <c r="G54" i="4"/>
  <c r="F54" i="4"/>
  <c r="E54" i="4"/>
  <c r="D54" i="4"/>
  <c r="C54" i="4"/>
  <c r="I52" i="4"/>
  <c r="H52" i="4"/>
  <c r="G52" i="4"/>
  <c r="F52" i="4"/>
  <c r="E52" i="4"/>
  <c r="D52" i="4"/>
  <c r="C52" i="4"/>
  <c r="I51" i="4"/>
  <c r="H51" i="4"/>
  <c r="G51" i="4"/>
  <c r="F51" i="4"/>
  <c r="E51" i="4"/>
  <c r="D51" i="4"/>
  <c r="C51" i="4"/>
  <c r="I50" i="4"/>
  <c r="H50" i="4"/>
  <c r="G50" i="4"/>
  <c r="F50" i="4"/>
  <c r="E50" i="4"/>
  <c r="D50" i="4"/>
  <c r="C50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D23" i="4"/>
  <c r="C23" i="4"/>
  <c r="D22" i="4"/>
  <c r="C22" i="4"/>
  <c r="D21" i="4"/>
  <c r="C21" i="4"/>
  <c r="D20" i="4"/>
  <c r="C20" i="4"/>
  <c r="D19" i="4"/>
  <c r="C19" i="4"/>
  <c r="D18" i="4"/>
  <c r="C18" i="4"/>
  <c r="D17" i="4"/>
  <c r="C17" i="4"/>
  <c r="D16" i="4"/>
  <c r="C16" i="4"/>
  <c r="D15" i="4"/>
  <c r="C15" i="4"/>
  <c r="D14" i="4"/>
  <c r="C14" i="4"/>
  <c r="D13" i="4"/>
  <c r="D12" i="4" s="1"/>
  <c r="C13" i="4"/>
  <c r="D9" i="4"/>
  <c r="C9" i="4"/>
  <c r="D8" i="4"/>
  <c r="C8" i="4"/>
  <c r="D7" i="4"/>
  <c r="C7" i="4"/>
  <c r="D5" i="4"/>
  <c r="C5" i="4"/>
  <c r="F78" i="4"/>
  <c r="K23" i="4"/>
  <c r="K15" i="4"/>
  <c r="G78" i="4"/>
  <c r="K89" i="4"/>
  <c r="K90" i="4"/>
  <c r="K33" i="4"/>
  <c r="K98" i="4"/>
  <c r="E53" i="4"/>
  <c r="E59" i="4"/>
  <c r="F53" i="4"/>
  <c r="F59" i="4"/>
  <c r="K16" i="4"/>
  <c r="K34" i="4"/>
  <c r="H78" i="4"/>
  <c r="K26" i="4"/>
  <c r="I78" i="4"/>
  <c r="K17" i="4"/>
  <c r="K35" i="4"/>
  <c r="K77" i="4"/>
  <c r="K7" i="4"/>
  <c r="K28" i="4"/>
  <c r="K55" i="4"/>
  <c r="K84" i="4"/>
  <c r="K20" i="4"/>
  <c r="K38" i="4"/>
  <c r="K58" i="4"/>
  <c r="K95" i="4"/>
  <c r="K8" i="4"/>
  <c r="K21" i="4"/>
  <c r="K29" i="4"/>
  <c r="K40" i="4"/>
  <c r="K52" i="4"/>
  <c r="K85" i="4"/>
  <c r="K96" i="4"/>
  <c r="D115" i="4"/>
  <c r="B79" i="4" s="1"/>
  <c r="K56" i="4"/>
  <c r="K24" i="4"/>
  <c r="G53" i="4"/>
  <c r="G59" i="4" s="1"/>
  <c r="K91" i="4"/>
  <c r="C60" i="4"/>
  <c r="C39" i="4"/>
  <c r="K5" i="4"/>
  <c r="K27" i="4"/>
  <c r="J33" i="4"/>
  <c r="J14" i="4"/>
  <c r="J24" i="4"/>
  <c r="J31" i="4"/>
  <c r="J25" i="4"/>
  <c r="J19" i="4"/>
  <c r="J32" i="4"/>
  <c r="J23" i="4"/>
  <c r="J38" i="4"/>
  <c r="J27" i="4"/>
  <c r="J13" i="4"/>
  <c r="J7" i="4"/>
  <c r="J15" i="4"/>
  <c r="D39" i="4"/>
  <c r="J39" i="4" s="1"/>
  <c r="D41" i="4"/>
  <c r="D60" i="4"/>
  <c r="J18" i="4"/>
  <c r="J34" i="4"/>
  <c r="J29" i="4"/>
  <c r="J9" i="4"/>
  <c r="J20" i="4"/>
  <c r="J35" i="4"/>
  <c r="J37" i="4"/>
  <c r="J36" i="4"/>
  <c r="J30" i="4"/>
  <c r="J8" i="4"/>
  <c r="J16" i="4"/>
  <c r="J26" i="4"/>
  <c r="J17" i="4"/>
  <c r="J5" i="4"/>
  <c r="J22" i="4"/>
  <c r="J28" i="4"/>
  <c r="J21" i="4"/>
  <c r="K92" i="4"/>
  <c r="K18" i="4"/>
  <c r="K36" i="4"/>
  <c r="J84" i="4"/>
  <c r="J91" i="4"/>
  <c r="J89" i="4"/>
  <c r="J86" i="4"/>
  <c r="J92" i="4"/>
  <c r="J90" i="4"/>
  <c r="J85" i="4"/>
  <c r="J94" i="4"/>
  <c r="J93" i="4"/>
  <c r="J88" i="4"/>
  <c r="K9" i="4"/>
  <c r="K22" i="4"/>
  <c r="K30" i="4"/>
  <c r="K50" i="4"/>
  <c r="C53" i="4"/>
  <c r="C59" i="4" s="1"/>
  <c r="K76" i="4"/>
  <c r="C78" i="4"/>
  <c r="K78" i="4"/>
  <c r="K86" i="4"/>
  <c r="K97" i="4"/>
  <c r="K14" i="4"/>
  <c r="K32" i="4"/>
  <c r="J55" i="4"/>
  <c r="J58" i="4"/>
  <c r="J54" i="4"/>
  <c r="J57" i="4"/>
  <c r="J50" i="4"/>
  <c r="J51" i="4"/>
  <c r="J52" i="4"/>
  <c r="J56" i="4"/>
  <c r="D53" i="4"/>
  <c r="D59" i="4" s="1"/>
  <c r="J59" i="4" s="1"/>
  <c r="E78" i="4"/>
  <c r="K93" i="4"/>
  <c r="K99" i="4"/>
  <c r="H53" i="4"/>
  <c r="H59" i="4" s="1"/>
  <c r="C12" i="4"/>
  <c r="C11" i="4" s="1"/>
  <c r="C6" i="4" s="1"/>
  <c r="C10" i="4" s="1"/>
  <c r="K13" i="4"/>
  <c r="K19" i="4"/>
  <c r="K25" i="4"/>
  <c r="K31" i="4"/>
  <c r="K37" i="4"/>
  <c r="I53" i="4"/>
  <c r="I59" i="4"/>
  <c r="K57" i="4"/>
  <c r="K88" i="4"/>
  <c r="K94" i="4"/>
  <c r="K100" i="4"/>
  <c r="K51" i="4"/>
  <c r="K54" i="4"/>
  <c r="J77" i="4"/>
  <c r="J76" i="4"/>
  <c r="D78" i="4"/>
  <c r="J78" i="4"/>
  <c r="J95" i="4"/>
  <c r="J99" i="4"/>
  <c r="J98" i="4"/>
  <c r="J96" i="4"/>
  <c r="J100" i="4"/>
  <c r="B43" i="4"/>
  <c r="B1" i="4"/>
  <c r="C41" i="4"/>
  <c r="K59" i="4" l="1"/>
  <c r="D61" i="4"/>
  <c r="J53" i="4"/>
  <c r="K87" i="4"/>
  <c r="C61" i="4"/>
  <c r="K53" i="4"/>
  <c r="D11" i="4"/>
  <c r="K12" i="4"/>
  <c r="J12" i="4"/>
  <c r="J40" i="4"/>
  <c r="J41" i="4"/>
  <c r="K41" i="4"/>
  <c r="K39" i="4"/>
  <c r="J11" i="4" l="1"/>
  <c r="D6" i="4"/>
  <c r="K11" i="4"/>
  <c r="L7" i="4" l="1"/>
  <c r="L9" i="4"/>
  <c r="D10" i="4"/>
  <c r="J6" i="4"/>
  <c r="L8" i="4"/>
  <c r="K6" i="4"/>
  <c r="L6" i="4"/>
  <c r="L10" i="4" l="1"/>
  <c r="J10" i="4"/>
  <c r="K10" i="4"/>
</calcChain>
</file>

<file path=xl/sharedStrings.xml><?xml version="1.0" encoding="utf-8"?>
<sst xmlns="http://schemas.openxmlformats.org/spreadsheetml/2006/main" count="416" uniqueCount="112">
  <si>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</si>
  <si>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</si>
  <si>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</si>
  <si>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</si>
  <si>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</si>
  <si>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</si>
  <si>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</si>
  <si>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</si>
  <si>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</si>
  <si>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</si>
  <si>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</si>
  <si>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</si>
  <si>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</si>
  <si>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</si>
  <si>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</si>
  <si>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</si>
  <si>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</si>
  <si>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</si>
  <si>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</si>
  <si>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dochody z majątku</t>
  </si>
  <si>
    <t xml:space="preserve">pozostałe dochody </t>
  </si>
  <si>
    <t>Struktura</t>
  </si>
  <si>
    <t>Wskaźnik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</si>
  <si>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</si>
  <si>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</si>
  <si>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</si>
  <si>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</si>
  <si>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</si>
  <si>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</si>
  <si>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</si>
  <si>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</si>
  <si>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</si>
  <si>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</si>
  <si>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</si>
  <si>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</si>
  <si>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</si>
  <si>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</si>
  <si>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</si>
  <si>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</si>
  <si>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</si>
  <si>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</si>
  <si>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</si>
  <si>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</si>
  <si>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</si>
  <si>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</si>
  <si>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</si>
  <si>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Dotacje §§ 200 i 620</t>
  </si>
  <si>
    <t>w tym: inwestycyjne § 620</t>
  </si>
  <si>
    <t>tytul</t>
  </si>
  <si>
    <t>majątkowe</t>
  </si>
  <si>
    <t>bieżace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</si>
  <si>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</si>
  <si>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</si>
  <si>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</si>
  <si>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</si>
  <si>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</si>
  <si>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</si>
  <si>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</si>
  <si>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</si>
  <si>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Dotacje §§ 205 i 625</t>
  </si>
  <si>
    <t>w tym: inwestycyjne § 625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</si>
  <si>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</si>
  <si>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Wydatki Ogółem UE                                         z tego: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</si>
  <si>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</si>
  <si>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</si>
  <si>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</si>
  <si>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</si>
  <si>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</si>
  <si>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</si>
  <si>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otrzymane ze środków z Funduszu Przeciwdziałania COVID-19 (m.in. z Rządowego Funduszu Inwestycji Lokalnych)</t>
  </si>
  <si>
    <t>na finansowanie lub dofinansowanie zadań inwestycyjnych obiektów zabytkowych oraz prac remontowych i konserwatorskich przy zabytkach</t>
  </si>
  <si>
    <t>w tym: inwestycyjne</t>
  </si>
  <si>
    <t>wynagrodzenia i składki od nich naliczane</t>
  </si>
  <si>
    <t>nadwyżka z lat ubiegłych, pomniejszona o niewykorzystane środki pieniężne, o których mowa w art. 217 ust. 2 pkt 8 ustawy o finansach publicznych</t>
  </si>
  <si>
    <t>niewykorzystane środki pieniężne, o których mowa w art. 217 ust. 2 pkt 8 ustawy o finansach publicznych</t>
  </si>
  <si>
    <t>udzielone pożyczki</t>
  </si>
  <si>
    <t>nadwyżka budżetu jednostki samorządu terytorialnego z lat ubiegłych, pomniejszona o środki określone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</si>
  <si>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</si>
  <si>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</si>
  <si>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#</t>
  </si>
  <si>
    <t>Dotacje ogółem 
z tego:</t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</si>
  <si>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</si>
  <si>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</si>
  <si>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</si>
  <si>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</si>
  <si>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</si>
  <si>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 xml:space="preserve">DOCHODY OGÓŁEM 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</si>
  <si>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</si>
  <si>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</si>
  <si>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</si>
  <si>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inne źródła, w tym:</t>
  </si>
  <si>
    <t>środki z lokat dokonanych w latach ubiegłych</t>
  </si>
  <si>
    <t>inne cele, w tym:</t>
  </si>
  <si>
    <t>lokaty na okres wykraczający poza rok budżetowy</t>
  </si>
  <si>
    <t>kredyty, pożyczki, emisja papierów wartościowych 
w tym: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</si>
  <si>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</si>
  <si>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</si>
  <si>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fizycznych</t>
  </si>
  <si>
    <t>podatek dochodowy od osób prawnych</t>
  </si>
  <si>
    <t>Subwencja ogólna, w tym:</t>
  </si>
  <si>
    <t>część rekompensująca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</si>
  <si>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</si>
  <si>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</si>
  <si>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</si>
  <si>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</si>
  <si>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</si>
  <si>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Wynik budżetu</t>
  </si>
  <si>
    <t>zrównoważony</t>
  </si>
  <si>
    <t>Planowany</t>
  </si>
  <si>
    <t>Wykonany</t>
  </si>
  <si>
    <t>Wynik operacyjny (Db-Wb)</t>
  </si>
  <si>
    <t>Dochody bieżące 
minus  wydatki bieżące (Db-Wb)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</si>
</sst>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3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2"/>
      <name val="Arial"/>
      <family val="2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14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0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3" borderId="0" applyNumberFormat="0" applyBorder="0" applyAlignment="0" applyProtection="0"/>
    <xf numFmtId="0" fontId="13" fillId="10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3" borderId="0" applyNumberFormat="0" applyBorder="0" applyAlignment="0" applyProtection="0"/>
    <xf numFmtId="0" fontId="14" fillId="10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4" borderId="0" applyNumberFormat="0" applyBorder="0" applyAlignment="0" applyProtection="0"/>
    <xf numFmtId="0" fontId="14" fillId="13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5" fillId="18" borderId="0" applyNumberFormat="0" applyBorder="0" applyAlignment="0" applyProtection="0"/>
    <xf numFmtId="0" fontId="16" fillId="7" borderId="1" applyNumberFormat="0" applyAlignment="0" applyProtection="0"/>
    <xf numFmtId="0" fontId="17" fillId="17" borderId="2" applyNumberFormat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10" borderId="0" applyNumberFormat="0" applyBorder="0" applyAlignment="0" applyProtection="0"/>
    <xf numFmtId="0" fontId="34" fillId="0" borderId="0"/>
    <xf numFmtId="0" fontId="34" fillId="0" borderId="0"/>
    <xf numFmtId="0" fontId="1" fillId="4" borderId="8" applyNumberFormat="0" applyFont="0" applyAlignment="0" applyProtection="0"/>
    <xf numFmtId="0" fontId="26" fillId="7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20" borderId="10" xfId="0" applyFont="1" applyFill="1" applyBorder="1" applyAlignment="1">
      <alignment horizontal="left" vertical="center" wrapText="1"/>
    </xf>
    <xf numFmtId="165" fontId="6" fillId="0" borderId="0" xfId="0" applyNumberFormat="1" applyFont="1"/>
    <xf numFmtId="165" fontId="6" fillId="0" borderId="0" xfId="0" applyNumberFormat="1" applyFont="1" applyFill="1"/>
    <xf numFmtId="4" fontId="4" fillId="0" borderId="10" xfId="0" applyNumberFormat="1" applyFont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2" fillId="20" borderId="10" xfId="0" applyNumberFormat="1" applyFont="1" applyFill="1" applyBorder="1" applyAlignment="1">
      <alignment horizontal="right" vertical="center"/>
    </xf>
    <xf numFmtId="4" fontId="4" fillId="20" borderId="10" xfId="0" applyNumberFormat="1" applyFont="1" applyFill="1" applyBorder="1" applyAlignment="1">
      <alignment horizontal="right" vertical="center" wrapText="1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4" fillId="0" borderId="10" xfId="0" applyFont="1" applyBorder="1" applyAlignment="1">
      <alignment horizontal="left" vertical="center" wrapText="1" indent="2"/>
    </xf>
    <xf numFmtId="165" fontId="12" fillId="20" borderId="10" xfId="0" applyNumberFormat="1" applyFont="1" applyFill="1" applyBorder="1" applyAlignment="1">
      <alignment horizontal="right" vertical="center"/>
    </xf>
    <xf numFmtId="165" fontId="4" fillId="0" borderId="10" xfId="0" applyNumberFormat="1" applyFont="1" applyFill="1" applyBorder="1" applyAlignment="1">
      <alignment horizontal="right" vertical="center"/>
    </xf>
    <xf numFmtId="165" fontId="11" fillId="20" borderId="10" xfId="0" applyNumberFormat="1" applyFont="1" applyFill="1" applyBorder="1" applyAlignment="1">
      <alignment horizontal="right" vertical="center"/>
    </xf>
    <xf numFmtId="165" fontId="6" fillId="0" borderId="10" xfId="0" applyNumberFormat="1" applyFont="1" applyBorder="1" applyAlignment="1">
      <alignment horizontal="right" vertical="center"/>
    </xf>
    <xf numFmtId="0" fontId="6" fillId="0" borderId="10" xfId="0" applyFont="1" applyBorder="1"/>
    <xf numFmtId="0" fontId="6" fillId="0" borderId="0" xfId="0" applyFont="1"/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165" fontId="11" fillId="20" borderId="10" xfId="28" applyNumberFormat="1" applyFont="1" applyFill="1" applyBorder="1" applyAlignment="1">
      <alignment horizontal="right" vertical="center"/>
    </xf>
    <xf numFmtId="4" fontId="11" fillId="20" borderId="14" xfId="0" applyNumberFormat="1" applyFont="1" applyFill="1" applyBorder="1" applyAlignment="1">
      <alignment horizontal="right" vertical="center"/>
    </xf>
    <xf numFmtId="4" fontId="6" fillId="0" borderId="14" xfId="0" applyNumberFormat="1" applyFont="1" applyBorder="1" applyAlignment="1">
      <alignment horizontal="right" vertical="center"/>
    </xf>
    <xf numFmtId="4" fontId="6" fillId="20" borderId="14" xfId="0" applyNumberFormat="1" applyFont="1" applyFill="1" applyBorder="1" applyAlignment="1">
      <alignment horizontal="right" vertical="center"/>
    </xf>
    <xf numFmtId="4" fontId="6" fillId="21" borderId="14" xfId="0" applyNumberFormat="1" applyFont="1" applyFill="1" applyBorder="1" applyAlignment="1">
      <alignment horizontal="right" vertical="center"/>
    </xf>
    <xf numFmtId="4" fontId="11" fillId="22" borderId="14" xfId="0" applyNumberFormat="1" applyFont="1" applyFill="1" applyBorder="1" applyAlignment="1">
      <alignment horizontal="right" vertical="center"/>
    </xf>
    <xf numFmtId="0" fontId="35" fillId="22" borderId="10" xfId="43" applyFont="1" applyFill="1" applyBorder="1" applyAlignment="1">
      <alignment horizontal="left" vertical="center" wrapText="1"/>
    </xf>
    <xf numFmtId="165" fontId="11" fillId="21" borderId="10" xfId="28" applyNumberFormat="1" applyFont="1" applyFill="1" applyBorder="1" applyAlignment="1">
      <alignment horizontal="right" vertical="center"/>
    </xf>
    <xf numFmtId="165" fontId="11" fillId="21" borderId="10" xfId="0" applyNumberFormat="1" applyFont="1" applyFill="1" applyBorder="1" applyAlignment="1">
      <alignment horizontal="right" vertical="center"/>
    </xf>
    <xf numFmtId="165" fontId="11" fillId="22" borderId="10" xfId="0" applyNumberFormat="1" applyFont="1" applyFill="1" applyBorder="1" applyAlignment="1">
      <alignment horizontal="right" vertical="center"/>
    </xf>
    <xf numFmtId="0" fontId="6" fillId="0" borderId="0" xfId="0" applyFont="1" applyFill="1"/>
    <xf numFmtId="0" fontId="6" fillId="0" borderId="0" xfId="0" applyFont="1" applyFill="1" applyBorder="1" applyAlignment="1">
      <alignment vertical="center"/>
    </xf>
    <xf numFmtId="165" fontId="4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right" vertical="center"/>
    </xf>
    <xf numFmtId="165" fontId="12" fillId="22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Fill="1" applyBorder="1" applyAlignment="1">
      <alignment horizontal="right" vertical="center"/>
    </xf>
    <xf numFmtId="165" fontId="4" fillId="0" borderId="0" xfId="0" applyNumberFormat="1" applyFont="1" applyFill="1" applyBorder="1" applyAlignment="1">
      <alignment horizontal="right" vertical="center"/>
    </xf>
    <xf numFmtId="165" fontId="4" fillId="22" borderId="10" xfId="0" applyNumberFormat="1" applyFont="1" applyFill="1" applyBorder="1" applyAlignment="1">
      <alignment horizontal="right" vertical="center"/>
    </xf>
    <xf numFmtId="0" fontId="4" fillId="0" borderId="10" xfId="0" applyFont="1" applyFill="1" applyBorder="1" applyAlignment="1">
      <alignment horizontal="left" vertical="center" wrapText="1" indent="2"/>
    </xf>
    <xf numFmtId="4" fontId="11" fillId="22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4" fontId="6" fillId="0" borderId="14" xfId="0" applyNumberFormat="1" applyFont="1" applyFill="1" applyBorder="1" applyAlignment="1">
      <alignment horizontal="right" vertical="center"/>
    </xf>
    <xf numFmtId="165" fontId="11" fillId="0" borderId="10" xfId="28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4" fontId="4" fillId="21" borderId="10" xfId="0" applyNumberFormat="1" applyFont="1" applyFill="1" applyBorder="1" applyAlignment="1">
      <alignment horizontal="right" vertical="center"/>
    </xf>
    <xf numFmtId="165" fontId="4" fillId="21" borderId="10" xfId="0" applyNumberFormat="1" applyFont="1" applyFill="1" applyBorder="1" applyAlignment="1">
      <alignment horizontal="right" vertical="center"/>
    </xf>
    <xf numFmtId="4" fontId="4" fillId="0" borderId="14" xfId="0" applyNumberFormat="1" applyFont="1" applyFill="1" applyBorder="1" applyAlignment="1">
      <alignment vertical="center" wrapText="1"/>
    </xf>
    <xf numFmtId="0" fontId="6" fillId="19" borderId="14" xfId="0" applyFont="1" applyFill="1" applyBorder="1" applyAlignment="1">
      <alignment horizontal="center" vertical="center"/>
    </xf>
    <xf numFmtId="4" fontId="6" fillId="0" borderId="14" xfId="0" applyNumberFormat="1" applyFont="1" applyFill="1" applyBorder="1" applyAlignment="1">
      <alignment vertical="center" wrapText="1"/>
    </xf>
    <xf numFmtId="4" fontId="11" fillId="22" borderId="10" xfId="0" applyNumberFormat="1" applyFont="1" applyFill="1" applyBorder="1" applyAlignment="1">
      <alignment horizontal="right" vertical="center"/>
    </xf>
    <xf numFmtId="4" fontId="11" fillId="22" borderId="10" xfId="0" applyNumberFormat="1" applyFont="1" applyFill="1" applyBorder="1" applyAlignment="1">
      <alignment vertical="center"/>
    </xf>
    <xf numFmtId="4" fontId="4" fillId="20" borderId="10" xfId="0" applyNumberFormat="1" applyFont="1" applyFill="1" applyBorder="1" applyAlignment="1">
      <alignment vertical="center" wrapText="1"/>
    </xf>
    <xf numFmtId="4" fontId="4" fillId="0" borderId="10" xfId="0" applyNumberFormat="1" applyFont="1" applyBorder="1" applyAlignment="1">
      <alignment vertical="center"/>
    </xf>
    <xf numFmtId="4" fontId="4" fillId="0" borderId="10" xfId="0" applyNumberFormat="1" applyFont="1" applyFill="1" applyBorder="1" applyAlignment="1">
      <alignment vertical="center" wrapText="1"/>
    </xf>
    <xf numFmtId="4" fontId="4" fillId="0" borderId="10" xfId="0" applyNumberFormat="1" applyFont="1" applyFill="1" applyBorder="1" applyAlignment="1">
      <alignment vertical="center"/>
    </xf>
    <xf numFmtId="4" fontId="4" fillId="0" borderId="16" xfId="0" applyNumberFormat="1" applyFont="1" applyFill="1" applyBorder="1" applyAlignment="1">
      <alignment horizontal="right" vertical="center"/>
    </xf>
    <xf numFmtId="4" fontId="4" fillId="0" borderId="17" xfId="0" applyNumberFormat="1" applyFont="1" applyFill="1" applyBorder="1" applyAlignment="1">
      <alignment vertical="center" wrapText="1"/>
    </xf>
    <xf numFmtId="165" fontId="11" fillId="22" borderId="16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165" fontId="6" fillId="0" borderId="0" xfId="0" applyNumberFormat="1" applyFont="1" applyFill="1" applyBorder="1"/>
    <xf numFmtId="4" fontId="4" fillId="0" borderId="18" xfId="0" applyNumberFormat="1" applyFont="1" applyFill="1" applyBorder="1" applyAlignment="1">
      <alignment horizontal="right" vertical="center" wrapText="1"/>
    </xf>
    <xf numFmtId="4" fontId="4" fillId="0" borderId="17" xfId="0" applyNumberFormat="1" applyFont="1" applyFill="1" applyBorder="1" applyAlignment="1">
      <alignment horizontal="right" vertical="center" wrapText="1"/>
    </xf>
    <xf numFmtId="4" fontId="12" fillId="0" borderId="19" xfId="0" applyNumberFormat="1" applyFont="1" applyFill="1" applyBorder="1" applyAlignment="1">
      <alignment horizontal="right" vertical="center" wrapText="1"/>
    </xf>
    <xf numFmtId="4" fontId="4" fillId="20" borderId="14" xfId="0" applyNumberFormat="1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0" fontId="6" fillId="19" borderId="14" xfId="0" applyFont="1" applyFill="1" applyBorder="1" applyAlignment="1">
      <alignment horizontal="center"/>
    </xf>
    <xf numFmtId="0" fontId="10" fillId="20" borderId="10" xfId="0" applyFont="1" applyFill="1" applyBorder="1" applyAlignment="1">
      <alignment horizontal="left" vertical="center" wrapText="1"/>
    </xf>
    <xf numFmtId="165" fontId="4" fillId="22" borderId="14" xfId="0" applyNumberFormat="1" applyFont="1" applyFill="1" applyBorder="1" applyAlignment="1">
      <alignment horizontal="right" vertical="center"/>
    </xf>
    <xf numFmtId="165" fontId="4" fillId="0" borderId="14" xfId="0" applyNumberFormat="1" applyFont="1" applyFill="1" applyBorder="1" applyAlignment="1">
      <alignment horizontal="right" vertical="center"/>
    </xf>
    <xf numFmtId="165" fontId="4" fillId="0" borderId="18" xfId="0" applyNumberFormat="1" applyFont="1" applyFill="1" applyBorder="1" applyAlignment="1">
      <alignment horizontal="right" vertical="center"/>
    </xf>
    <xf numFmtId="4" fontId="12" fillId="22" borderId="10" xfId="0" applyNumberFormat="1" applyFont="1" applyFill="1" applyBorder="1" applyAlignment="1">
      <alignment horizontal="center" vertical="center"/>
    </xf>
    <xf numFmtId="0" fontId="7" fillId="22" borderId="10" xfId="0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 indent="1"/>
    </xf>
    <xf numFmtId="0" fontId="7" fillId="22" borderId="10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32" fillId="0" borderId="0" xfId="0" applyFont="1" applyAlignment="1">
      <alignment vertical="center"/>
    </xf>
    <xf numFmtId="0" fontId="10" fillId="0" borderId="10" xfId="0" applyFont="1" applyFill="1" applyBorder="1" applyAlignment="1">
      <alignment horizontal="right" vertical="center"/>
    </xf>
    <xf numFmtId="0" fontId="7" fillId="22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0" borderId="10" xfId="0" applyFont="1" applyBorder="1" applyAlignment="1">
      <alignment horizontal="left" vertical="center" wrapText="1" indent="3"/>
    </xf>
    <xf numFmtId="0" fontId="6" fillId="0" borderId="10" xfId="0" applyFont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5" fillId="0" borderId="10" xfId="43" applyFont="1" applyFill="1" applyBorder="1" applyAlignment="1">
      <alignment horizontal="left" vertical="center" wrapText="1" indent="1"/>
    </xf>
    <xf numFmtId="4" fontId="11" fillId="20" borderId="14" xfId="0" applyNumberFormat="1" applyFont="1" applyFill="1" applyBorder="1" applyAlignment="1">
      <alignment horizontal="center" vertical="center"/>
    </xf>
    <xf numFmtId="4" fontId="11" fillId="0" borderId="14" xfId="0" applyNumberFormat="1" applyFont="1" applyFill="1" applyBorder="1" applyAlignment="1">
      <alignment horizontal="center" vertical="center"/>
    </xf>
    <xf numFmtId="4" fontId="12" fillId="0" borderId="10" xfId="0" applyNumberFormat="1" applyFont="1" applyFill="1" applyBorder="1" applyAlignment="1">
      <alignment horizontal="center" vertical="center"/>
    </xf>
    <xf numFmtId="0" fontId="6" fillId="0" borderId="16" xfId="0" applyFont="1" applyBorder="1"/>
    <xf numFmtId="166" fontId="6" fillId="0" borderId="11" xfId="0" applyNumberFormat="1" applyFont="1" applyBorder="1"/>
    <xf numFmtId="0" fontId="4" fillId="0" borderId="10" xfId="0" applyFont="1" applyFill="1" applyBorder="1" applyAlignment="1">
      <alignment horizontal="left" vertical="center" wrapText="1" indent="4"/>
    </xf>
    <xf numFmtId="0" fontId="4" fillId="21" borderId="10" xfId="0" applyFont="1" applyFill="1" applyBorder="1" applyAlignment="1">
      <alignment horizontal="left" vertical="center" wrapText="1" indent="3"/>
    </xf>
    <xf numFmtId="4" fontId="12" fillId="20" borderId="10" xfId="0" applyNumberFormat="1" applyFont="1" applyFill="1" applyBorder="1" applyAlignment="1">
      <alignment horizontal="right" vertical="center" wrapText="1"/>
    </xf>
    <xf numFmtId="0" fontId="10" fillId="0" borderId="20" xfId="43" applyFont="1" applyFill="1" applyBorder="1" applyAlignment="1">
      <alignment horizontal="left" vertical="center"/>
    </xf>
    <xf numFmtId="0" fontId="7" fillId="22" borderId="10" xfId="0" applyFont="1" applyFill="1" applyBorder="1" applyAlignment="1">
      <alignment horizontal="left" vertical="top" wrapText="1"/>
    </xf>
    <xf numFmtId="4" fontId="12" fillId="0" borderId="0" xfId="0" applyNumberFormat="1" applyFont="1" applyFill="1" applyBorder="1" applyAlignment="1">
      <alignment horizontal="center" vertical="center"/>
    </xf>
    <xf numFmtId="0" fontId="36" fillId="0" borderId="0" xfId="0" applyFont="1"/>
    <xf numFmtId="0" fontId="35" fillId="0" borderId="10" xfId="44" applyFont="1" applyBorder="1" applyAlignment="1">
      <alignment horizontal="left" vertical="center" wrapText="1" indent="1"/>
    </xf>
    <xf numFmtId="0" fontId="11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right" vertical="center" wrapText="1"/>
    </xf>
    <xf numFmtId="3" fontId="30" fillId="0" borderId="10" xfId="0" applyNumberFormat="1" applyFont="1" applyBorder="1" applyAlignment="1">
      <alignment vertical="center" wrapText="1"/>
    </xf>
    <xf numFmtId="167" fontId="30" fillId="0" borderId="10" xfId="0" applyNumberFormat="1" applyFont="1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4" fillId="19" borderId="14" xfId="0" applyFont="1" applyFill="1" applyBorder="1" applyAlignment="1">
      <alignment horizontal="center" vertical="center"/>
    </xf>
    <xf numFmtId="0" fontId="4" fillId="19" borderId="12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165" fontId="6" fillId="0" borderId="0" xfId="0" applyNumberFormat="1" applyFont="1" applyFill="1" applyBorder="1" applyAlignment="1">
      <alignment vertical="center" wrapText="1"/>
    </xf>
    <xf numFmtId="0" fontId="30" fillId="0" borderId="0" xfId="0" applyFont="1" applyFill="1" applyBorder="1" applyAlignment="1">
      <alignment vertical="center" wrapText="1"/>
    </xf>
    <xf numFmtId="0" fontId="7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4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4" fillId="19" borderId="17" xfId="0" applyFont="1" applyFill="1" applyBorder="1" applyAlignment="1">
      <alignment horizontal="center" vertical="center"/>
    </xf>
    <xf numFmtId="0" fontId="4" fillId="19" borderId="19" xfId="0" applyFont="1" applyFill="1" applyBorder="1" applyAlignment="1">
      <alignment horizontal="center" vertical="center"/>
    </xf>
    <xf numFmtId="0" fontId="4" fillId="19" borderId="22" xfId="0" applyFont="1" applyFill="1" applyBorder="1" applyAlignment="1">
      <alignment horizontal="center" vertical="center"/>
    </xf>
    <xf numFmtId="0" fontId="4" fillId="19" borderId="23" xfId="0" applyFont="1" applyFill="1" applyBorder="1" applyAlignment="1">
      <alignment horizontal="center" vertical="center"/>
    </xf>
    <xf numFmtId="0" fontId="4" fillId="19" borderId="24" xfId="0" applyFont="1" applyFill="1" applyBorder="1" applyAlignment="1">
      <alignment horizontal="center" vertical="center"/>
    </xf>
    <xf numFmtId="0" fontId="4" fillId="19" borderId="13" xfId="0" applyFont="1" applyFill="1" applyBorder="1" applyAlignment="1">
      <alignment horizontal="center" vertical="center"/>
    </xf>
    <xf numFmtId="4" fontId="12" fillId="0" borderId="19" xfId="0" applyNumberFormat="1" applyFont="1" applyFill="1" applyBorder="1" applyAlignment="1">
      <alignment horizontal="right" vertical="center" wrapText="1"/>
    </xf>
    <xf numFmtId="0" fontId="4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166" fontId="6" fillId="0" borderId="14" xfId="0" applyNumberFormat="1" applyFont="1" applyBorder="1" applyAlignment="1">
      <alignment horizontal="center"/>
    </xf>
    <xf numFmtId="166" fontId="6" fillId="0" borderId="12" xfId="0" applyNumberFormat="1" applyFont="1" applyBorder="1" applyAlignment="1">
      <alignment horizontal="center"/>
    </xf>
    <xf numFmtId="0" fontId="6" fillId="19" borderId="12" xfId="0" applyFont="1" applyFill="1" applyBorder="1" applyAlignment="1">
      <alignment horizontal="center" vertical="center"/>
    </xf>
    <xf numFmtId="0" fontId="6" fillId="19" borderId="12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/>
    </xf>
    <xf numFmtId="0" fontId="6" fillId="19" borderId="19" xfId="0" applyFont="1" applyFill="1" applyBorder="1" applyAlignment="1">
      <alignment horizontal="center" vertical="center"/>
    </xf>
    <xf numFmtId="0" fontId="6" fillId="19" borderId="22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/>
    </xf>
    <xf numFmtId="0" fontId="6" fillId="19" borderId="0" xfId="0" applyFont="1" applyFill="1" applyBorder="1" applyAlignment="1">
      <alignment horizontal="center" vertical="center"/>
    </xf>
    <xf numFmtId="0" fontId="6" fillId="19" borderId="25" xfId="0" applyFont="1" applyFill="1" applyBorder="1" applyAlignment="1">
      <alignment horizontal="center" vertical="center"/>
    </xf>
    <xf numFmtId="0" fontId="6" fillId="19" borderId="23" xfId="0" applyFont="1" applyFill="1" applyBorder="1" applyAlignment="1">
      <alignment horizontal="center" vertical="center"/>
    </xf>
    <xf numFmtId="0" fontId="6" fillId="19" borderId="24" xfId="0" applyFont="1" applyFill="1" applyBorder="1" applyAlignment="1">
      <alignment horizontal="center" vertical="center"/>
    </xf>
    <xf numFmtId="0" fontId="6" fillId="19" borderId="13" xfId="0" applyFont="1" applyFill="1" applyBorder="1" applyAlignment="1">
      <alignment horizontal="center" vertical="center"/>
    </xf>
    <xf numFmtId="0" fontId="6" fillId="19" borderId="14" xfId="0" applyFont="1" applyFill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</cellXfs>
  <cellStyles count="5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3" xfId="29" xr:uid="{00000000-0005-0000-0000-00001C000000}"/>
    <cellStyle name="Dziesiętny 3 2" xfId="30" xr:uid="{00000000-0005-0000-0000-00001D000000}"/>
    <cellStyle name="Dziesiętny 3 3" xfId="31" xr:uid="{00000000-0005-0000-0000-00001E000000}"/>
    <cellStyle name="Dziesiętny 4" xfId="32" xr:uid="{00000000-0005-0000-0000-00001F000000}"/>
    <cellStyle name="Dziesiętny 5" xfId="33" xr:uid="{00000000-0005-0000-0000-000020000000}"/>
    <cellStyle name="Explanatory Text" xfId="34" xr:uid="{00000000-0005-0000-0000-000021000000}"/>
    <cellStyle name="Good" xfId="35" xr:uid="{00000000-0005-0000-0000-000022000000}"/>
    <cellStyle name="Heading 1" xfId="36" xr:uid="{00000000-0005-0000-0000-000023000000}"/>
    <cellStyle name="Heading 2" xfId="37" xr:uid="{00000000-0005-0000-0000-000024000000}"/>
    <cellStyle name="Heading 3" xfId="38" xr:uid="{00000000-0005-0000-0000-000025000000}"/>
    <cellStyle name="Heading 4" xfId="39" xr:uid="{00000000-0005-0000-0000-000026000000}"/>
    <cellStyle name="Input" xfId="40" xr:uid="{00000000-0005-0000-0000-000027000000}"/>
    <cellStyle name="Linked Cell" xfId="41" xr:uid="{00000000-0005-0000-0000-000028000000}"/>
    <cellStyle name="Neutral" xfId="42" xr:uid="{00000000-0005-0000-0000-000029000000}"/>
    <cellStyle name="Normalny" xfId="0" builtinId="0"/>
    <cellStyle name="Normalny 2" xfId="43" xr:uid="{00000000-0005-0000-0000-00002B000000}"/>
    <cellStyle name="Normalny 2 2" xfId="44" xr:uid="{00000000-0005-0000-0000-00002C000000}"/>
    <cellStyle name="Note" xfId="45" xr:uid="{00000000-0005-0000-0000-00002D000000}"/>
    <cellStyle name="Output" xfId="46" xr:uid="{00000000-0005-0000-0000-00002E000000}"/>
    <cellStyle name="Title" xfId="47" xr:uid="{00000000-0005-0000-0000-00002F000000}"/>
    <cellStyle name="Total" xfId="48" xr:uid="{00000000-0005-0000-0000-000030000000}"/>
    <cellStyle name="Warning Text" xfId="49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18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5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9" width="13" style="1" customWidth="1" outlineLevel="1"/>
    <col min="10" max="10" width="7.7109375" style="1" bestFit="1" customWidth="1"/>
    <col min="11" max="11" width="7.5703125" style="1" bestFit="1" customWidth="1"/>
    <col min="12" max="12" width="8.42578125" style="1" customWidth="1"/>
    <col min="13" max="13" width="8.5703125" style="1" customWidth="1"/>
    <col min="14" max="16384" width="9.140625" style="1"/>
  </cols>
  <sheetData>
    <row r="1" spans="2:17" ht="18" customHeight="1" x14ac:dyDescent="0.2">
      <c r="B1" s="99" t="str">
        <f>CONCATENATE("Informacja z wykonania budżetów województw za ",$D$115," ",$C$116," rok    ",$C$118,"")</f>
        <v xml:space="preserve">Informacja z wykonania budżetów województw za II Kwartały 2025 rok    </v>
      </c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2:17" ht="60" customHeight="1" x14ac:dyDescent="0.2">
      <c r="B2" s="136" t="s">
        <v>0</v>
      </c>
      <c r="C2" s="13" t="s">
        <v>24</v>
      </c>
      <c r="D2" s="13" t="s">
        <v>25</v>
      </c>
      <c r="E2" s="13" t="s">
        <v>81</v>
      </c>
      <c r="F2" s="13" t="s">
        <v>82</v>
      </c>
      <c r="G2" s="13" t="s">
        <v>83</v>
      </c>
      <c r="H2" s="13" t="s">
        <v>84</v>
      </c>
      <c r="I2" s="13" t="s">
        <v>85</v>
      </c>
      <c r="J2" s="14" t="s">
        <v>2</v>
      </c>
      <c r="K2" s="13" t="s">
        <v>18</v>
      </c>
      <c r="L2" s="13" t="s">
        <v>3</v>
      </c>
    </row>
    <row r="3" spans="2:17" ht="9.75" customHeight="1" x14ac:dyDescent="0.2">
      <c r="B3" s="136"/>
      <c r="C3" s="128" t="s">
        <v>53</v>
      </c>
      <c r="D3" s="129"/>
      <c r="E3" s="140" t="s">
        <v>79</v>
      </c>
      <c r="F3" s="141"/>
      <c r="G3" s="141"/>
      <c r="H3" s="141"/>
      <c r="I3" s="142"/>
      <c r="J3" s="128" t="s">
        <v>4</v>
      </c>
      <c r="K3" s="133"/>
      <c r="L3" s="129"/>
    </row>
    <row r="4" spans="2:17" ht="9" customHeight="1" x14ac:dyDescent="0.2">
      <c r="B4" s="14">
        <v>1</v>
      </c>
      <c r="C4" s="16">
        <v>2</v>
      </c>
      <c r="D4" s="16">
        <v>3</v>
      </c>
      <c r="E4" s="143"/>
      <c r="F4" s="144"/>
      <c r="G4" s="144"/>
      <c r="H4" s="144"/>
      <c r="I4" s="145"/>
      <c r="J4" s="16">
        <v>4</v>
      </c>
      <c r="K4" s="16">
        <v>5</v>
      </c>
      <c r="L4" s="16">
        <v>6</v>
      </c>
    </row>
    <row r="5" spans="2:17" ht="12.95" customHeight="1" x14ac:dyDescent="0.2">
      <c r="B5" s="97" t="s">
        <v>5</v>
      </c>
      <c r="C5" s="55">
        <f>39892195599.42</f>
        <v>39892195599.419998</v>
      </c>
      <c r="D5" s="55">
        <f>18897836013.06</f>
        <v>18897836013.060001</v>
      </c>
      <c r="E5" s="94" t="s">
        <v>79</v>
      </c>
      <c r="F5" s="94" t="s">
        <v>79</v>
      </c>
      <c r="G5" s="94" t="s">
        <v>79</v>
      </c>
      <c r="H5" s="94" t="s">
        <v>79</v>
      </c>
      <c r="I5" s="94" t="s">
        <v>79</v>
      </c>
      <c r="J5" s="56">
        <f t="shared" ref="J5:J38" si="0">IF($D$5=0,"",100*$D5/$D$5)</f>
        <v>100</v>
      </c>
      <c r="K5" s="56">
        <f t="shared" ref="K5:K41" si="1">IF(C5=0,"",100*D5/C5)</f>
        <v>47.372263494403306</v>
      </c>
      <c r="L5" s="56"/>
      <c r="M5" s="34"/>
      <c r="N5" s="34"/>
      <c r="O5" s="34"/>
      <c r="P5" s="34"/>
      <c r="Q5" s="34"/>
    </row>
    <row r="6" spans="2:17" ht="27" customHeight="1" x14ac:dyDescent="0.2">
      <c r="B6" s="96" t="s">
        <v>35</v>
      </c>
      <c r="C6" s="22">
        <f>C5-C11-C35</f>
        <v>22074596608.759995</v>
      </c>
      <c r="D6" s="22">
        <f>D5-D11-D35</f>
        <v>11787005473.880003</v>
      </c>
      <c r="E6" s="94" t="s">
        <v>79</v>
      </c>
      <c r="F6" s="94" t="s">
        <v>79</v>
      </c>
      <c r="G6" s="94" t="s">
        <v>79</v>
      </c>
      <c r="H6" s="94" t="s">
        <v>79</v>
      </c>
      <c r="I6" s="94" t="s">
        <v>79</v>
      </c>
      <c r="J6" s="29">
        <f t="shared" si="0"/>
        <v>62.372249741897356</v>
      </c>
      <c r="K6" s="29">
        <f t="shared" si="1"/>
        <v>53.396244030128706</v>
      </c>
      <c r="L6" s="29">
        <f>IF($D$6=0,"",100*$D6/$D$6)</f>
        <v>100</v>
      </c>
      <c r="M6" s="34"/>
      <c r="N6" s="34"/>
      <c r="O6" s="34"/>
      <c r="P6" s="34"/>
      <c r="Q6" s="34"/>
    </row>
    <row r="7" spans="2:17" ht="22.5" outlineLevel="1" x14ac:dyDescent="0.2">
      <c r="B7" s="28" t="s">
        <v>97</v>
      </c>
      <c r="C7" s="20">
        <f>6766158728.51</f>
        <v>6766158728.5100002</v>
      </c>
      <c r="D7" s="20">
        <f>4163789928</f>
        <v>4163789928</v>
      </c>
      <c r="E7" s="109" t="s">
        <v>79</v>
      </c>
      <c r="F7" s="109" t="s">
        <v>79</v>
      </c>
      <c r="G7" s="109" t="s">
        <v>79</v>
      </c>
      <c r="H7" s="109" t="s">
        <v>79</v>
      </c>
      <c r="I7" s="109" t="s">
        <v>79</v>
      </c>
      <c r="J7" s="30">
        <f t="shared" si="0"/>
        <v>22.03315726267531</v>
      </c>
      <c r="K7" s="30">
        <f t="shared" si="1"/>
        <v>61.538460669794588</v>
      </c>
      <c r="L7" s="30">
        <f>IF($D$6=0,"",100*$D7/$D$6)</f>
        <v>35.325256590632421</v>
      </c>
      <c r="M7" s="34"/>
      <c r="N7" s="34"/>
      <c r="O7" s="34"/>
      <c r="P7" s="34"/>
      <c r="Q7" s="34"/>
    </row>
    <row r="8" spans="2:17" ht="22.5" outlineLevel="1" x14ac:dyDescent="0.2">
      <c r="B8" s="60" t="s">
        <v>98</v>
      </c>
      <c r="C8" s="21">
        <f>12401133775.08</f>
        <v>12401133775.08</v>
      </c>
      <c r="D8" s="21">
        <f>6200566854</f>
        <v>6200566854</v>
      </c>
      <c r="E8" s="109" t="s">
        <v>79</v>
      </c>
      <c r="F8" s="109" t="s">
        <v>79</v>
      </c>
      <c r="G8" s="109" t="s">
        <v>79</v>
      </c>
      <c r="H8" s="109" t="s">
        <v>79</v>
      </c>
      <c r="I8" s="109" t="s">
        <v>79</v>
      </c>
      <c r="J8" s="30">
        <f t="shared" si="0"/>
        <v>32.810988780487271</v>
      </c>
      <c r="K8" s="30">
        <f t="shared" si="1"/>
        <v>49.99999972954086</v>
      </c>
      <c r="L8" s="30">
        <f>IF($D$6=0,"",100*$D8/$D$6)</f>
        <v>52.605107104942405</v>
      </c>
      <c r="M8" s="34"/>
      <c r="N8" s="34"/>
      <c r="O8" s="34"/>
      <c r="P8" s="34"/>
      <c r="Q8" s="34"/>
    </row>
    <row r="9" spans="2:17" ht="12.75" customHeight="1" outlineLevel="1" x14ac:dyDescent="0.2">
      <c r="B9" s="60" t="s">
        <v>19</v>
      </c>
      <c r="C9" s="21">
        <f>224759330</f>
        <v>224759330</v>
      </c>
      <c r="D9" s="57">
        <f>113026688.7</f>
        <v>113026688.7</v>
      </c>
      <c r="E9" s="109" t="s">
        <v>79</v>
      </c>
      <c r="F9" s="109" t="s">
        <v>79</v>
      </c>
      <c r="G9" s="109" t="s">
        <v>79</v>
      </c>
      <c r="H9" s="109" t="s">
        <v>79</v>
      </c>
      <c r="I9" s="109" t="s">
        <v>79</v>
      </c>
      <c r="J9" s="30">
        <f t="shared" si="0"/>
        <v>0.59809328762239766</v>
      </c>
      <c r="K9" s="30">
        <f t="shared" si="1"/>
        <v>50.287874011726231</v>
      </c>
      <c r="L9" s="30">
        <f>IF($D$6=0,"",100*$D9/$D$6)</f>
        <v>0.95890927471330245</v>
      </c>
      <c r="M9" s="34"/>
      <c r="N9" s="34"/>
      <c r="O9" s="34"/>
      <c r="P9" s="34"/>
      <c r="Q9" s="34"/>
    </row>
    <row r="10" spans="2:17" ht="12.75" customHeight="1" outlineLevel="1" x14ac:dyDescent="0.2">
      <c r="B10" s="60" t="s">
        <v>20</v>
      </c>
      <c r="C10" s="21">
        <f>C6-C7-C8-C9</f>
        <v>2682544775.1699944</v>
      </c>
      <c r="D10" s="21">
        <f>D6-D7-D8-D9</f>
        <v>1309622003.1800029</v>
      </c>
      <c r="E10" s="109" t="s">
        <v>79</v>
      </c>
      <c r="F10" s="109" t="s">
        <v>79</v>
      </c>
      <c r="G10" s="109" t="s">
        <v>79</v>
      </c>
      <c r="H10" s="109" t="s">
        <v>79</v>
      </c>
      <c r="I10" s="109" t="s">
        <v>79</v>
      </c>
      <c r="J10" s="30">
        <f t="shared" si="0"/>
        <v>6.9300104111123808</v>
      </c>
      <c r="K10" s="30">
        <f t="shared" si="1"/>
        <v>48.820135839000542</v>
      </c>
      <c r="L10" s="30">
        <f>IF($D$6=0,"",100*$D10/$D$6)</f>
        <v>11.110727029711867</v>
      </c>
      <c r="M10" s="34"/>
      <c r="N10" s="34"/>
      <c r="O10" s="34"/>
      <c r="P10" s="34"/>
      <c r="Q10" s="34"/>
    </row>
    <row r="11" spans="2:17" ht="27" customHeight="1" x14ac:dyDescent="0.2">
      <c r="B11" s="96" t="s">
        <v>80</v>
      </c>
      <c r="C11" s="55">
        <f>C12+C31+C33</f>
        <v>12233762443.830002</v>
      </c>
      <c r="D11" s="55">
        <f>D12+D31+D33</f>
        <v>4317858075.46</v>
      </c>
      <c r="E11" s="94" t="s">
        <v>79</v>
      </c>
      <c r="F11" s="94" t="s">
        <v>79</v>
      </c>
      <c r="G11" s="94" t="s">
        <v>79</v>
      </c>
      <c r="H11" s="94" t="s">
        <v>79</v>
      </c>
      <c r="I11" s="94" t="s">
        <v>79</v>
      </c>
      <c r="J11" s="56">
        <f t="shared" si="0"/>
        <v>22.848425991610867</v>
      </c>
      <c r="K11" s="56">
        <f t="shared" si="1"/>
        <v>35.294604544472548</v>
      </c>
      <c r="L11" s="58"/>
      <c r="M11" s="34"/>
      <c r="N11" s="34"/>
      <c r="O11" s="34"/>
      <c r="P11" s="34"/>
      <c r="Q11" s="34"/>
    </row>
    <row r="12" spans="2:17" ht="27" customHeight="1" outlineLevel="1" x14ac:dyDescent="0.2">
      <c r="B12" s="101" t="s">
        <v>36</v>
      </c>
      <c r="C12" s="55">
        <f>C13+C15+C17+C19+C21+C23+C25+C27+C29</f>
        <v>3430196798.5300007</v>
      </c>
      <c r="D12" s="55">
        <f>D13+D15+D17+D19+D21+D23+D25+D27+D29</f>
        <v>1815368076.6000001</v>
      </c>
      <c r="E12" s="94" t="s">
        <v>79</v>
      </c>
      <c r="F12" s="94" t="s">
        <v>79</v>
      </c>
      <c r="G12" s="94" t="s">
        <v>79</v>
      </c>
      <c r="H12" s="94" t="s">
        <v>79</v>
      </c>
      <c r="I12" s="94" t="s">
        <v>79</v>
      </c>
      <c r="J12" s="56">
        <f t="shared" si="0"/>
        <v>9.6062219787780325</v>
      </c>
      <c r="K12" s="56">
        <f t="shared" si="1"/>
        <v>52.923146490544504</v>
      </c>
      <c r="L12" s="26"/>
      <c r="M12" s="34"/>
      <c r="N12" s="34"/>
      <c r="O12" s="34"/>
      <c r="P12" s="34"/>
      <c r="Q12" s="34"/>
    </row>
    <row r="13" spans="2:17" ht="22.5" outlineLevel="1" x14ac:dyDescent="0.2">
      <c r="B13" s="102" t="s">
        <v>9</v>
      </c>
      <c r="C13" s="21">
        <f>1691609341.67</f>
        <v>1691609341.6700001</v>
      </c>
      <c r="D13" s="21">
        <f>1167196665.73</f>
        <v>1167196665.73</v>
      </c>
      <c r="E13" s="109" t="s">
        <v>79</v>
      </c>
      <c r="F13" s="109" t="s">
        <v>79</v>
      </c>
      <c r="G13" s="109" t="s">
        <v>79</v>
      </c>
      <c r="H13" s="109" t="s">
        <v>79</v>
      </c>
      <c r="I13" s="109" t="s">
        <v>79</v>
      </c>
      <c r="J13" s="30">
        <f t="shared" si="0"/>
        <v>6.1763509055924102</v>
      </c>
      <c r="K13" s="30">
        <f t="shared" si="1"/>
        <v>68.999185389796537</v>
      </c>
      <c r="L13" s="26"/>
      <c r="M13" s="34"/>
      <c r="N13" s="34"/>
      <c r="O13" s="34"/>
      <c r="P13" s="34"/>
      <c r="Q13" s="34"/>
    </row>
    <row r="14" spans="2:17" ht="12.75" customHeight="1" outlineLevel="1" x14ac:dyDescent="0.2">
      <c r="B14" s="112" t="s">
        <v>6</v>
      </c>
      <c r="C14" s="21">
        <f>360000</f>
        <v>360000</v>
      </c>
      <c r="D14" s="21">
        <f>0</f>
        <v>0</v>
      </c>
      <c r="E14" s="109" t="s">
        <v>79</v>
      </c>
      <c r="F14" s="109" t="s">
        <v>79</v>
      </c>
      <c r="G14" s="109" t="s">
        <v>79</v>
      </c>
      <c r="H14" s="109" t="s">
        <v>79</v>
      </c>
      <c r="I14" s="109" t="s">
        <v>79</v>
      </c>
      <c r="J14" s="30">
        <f t="shared" si="0"/>
        <v>0</v>
      </c>
      <c r="K14" s="30">
        <f t="shared" si="1"/>
        <v>0</v>
      </c>
      <c r="L14" s="26"/>
      <c r="M14" s="34"/>
      <c r="N14" s="34"/>
      <c r="O14" s="34"/>
      <c r="P14" s="34"/>
      <c r="Q14" s="34"/>
    </row>
    <row r="15" spans="2:17" ht="12.75" customHeight="1" outlineLevel="1" x14ac:dyDescent="0.2">
      <c r="B15" s="102" t="s">
        <v>7</v>
      </c>
      <c r="C15" s="21">
        <f>264960393.76</f>
        <v>264960393.75999999</v>
      </c>
      <c r="D15" s="21">
        <f>149217027.54</f>
        <v>149217027.53999999</v>
      </c>
      <c r="E15" s="109" t="s">
        <v>79</v>
      </c>
      <c r="F15" s="109" t="s">
        <v>79</v>
      </c>
      <c r="G15" s="109" t="s">
        <v>79</v>
      </c>
      <c r="H15" s="109" t="s">
        <v>79</v>
      </c>
      <c r="I15" s="109" t="s">
        <v>79</v>
      </c>
      <c r="J15" s="30">
        <f t="shared" si="0"/>
        <v>0.78959848861466697</v>
      </c>
      <c r="K15" s="30">
        <f t="shared" si="1"/>
        <v>56.316729237336567</v>
      </c>
      <c r="L15" s="26"/>
      <c r="M15" s="34"/>
      <c r="N15" s="34"/>
      <c r="O15" s="34"/>
      <c r="P15" s="34"/>
      <c r="Q15" s="34"/>
    </row>
    <row r="16" spans="2:17" ht="12.75" customHeight="1" outlineLevel="1" x14ac:dyDescent="0.2">
      <c r="B16" s="112" t="s">
        <v>6</v>
      </c>
      <c r="C16" s="21">
        <f>226824331.76</f>
        <v>226824331.75999999</v>
      </c>
      <c r="D16" s="21">
        <f>129795451.84</f>
        <v>129795451.84</v>
      </c>
      <c r="E16" s="109" t="s">
        <v>79</v>
      </c>
      <c r="F16" s="109" t="s">
        <v>79</v>
      </c>
      <c r="G16" s="109" t="s">
        <v>79</v>
      </c>
      <c r="H16" s="109" t="s">
        <v>79</v>
      </c>
      <c r="I16" s="109" t="s">
        <v>79</v>
      </c>
      <c r="J16" s="30">
        <f t="shared" si="0"/>
        <v>0.68682706184083919</v>
      </c>
      <c r="K16" s="30">
        <f t="shared" si="1"/>
        <v>57.222896165008855</v>
      </c>
      <c r="L16" s="26"/>
      <c r="M16" s="34"/>
      <c r="N16" s="34"/>
      <c r="O16" s="34"/>
      <c r="P16" s="34"/>
      <c r="Q16" s="34"/>
    </row>
    <row r="17" spans="2:17" ht="33.75" outlineLevel="1" x14ac:dyDescent="0.2">
      <c r="B17" s="102" t="s">
        <v>10</v>
      </c>
      <c r="C17" s="21">
        <f>48451797</f>
        <v>48451797</v>
      </c>
      <c r="D17" s="21">
        <f>31445775.89</f>
        <v>31445775.890000001</v>
      </c>
      <c r="E17" s="109" t="s">
        <v>79</v>
      </c>
      <c r="F17" s="109" t="s">
        <v>79</v>
      </c>
      <c r="G17" s="109" t="s">
        <v>79</v>
      </c>
      <c r="H17" s="109" t="s">
        <v>79</v>
      </c>
      <c r="I17" s="109" t="s">
        <v>79</v>
      </c>
      <c r="J17" s="30">
        <f t="shared" si="0"/>
        <v>0.16639881872330944</v>
      </c>
      <c r="K17" s="30">
        <f t="shared" si="1"/>
        <v>64.901155038687207</v>
      </c>
      <c r="L17" s="26"/>
      <c r="M17" s="34"/>
      <c r="N17" s="34"/>
      <c r="O17" s="34"/>
      <c r="P17" s="34"/>
      <c r="Q17" s="34"/>
    </row>
    <row r="18" spans="2:17" ht="12.75" customHeight="1" outlineLevel="1" x14ac:dyDescent="0.2">
      <c r="B18" s="112" t="s">
        <v>6</v>
      </c>
      <c r="C18" s="21">
        <f>0</f>
        <v>0</v>
      </c>
      <c r="D18" s="21">
        <f>0</f>
        <v>0</v>
      </c>
      <c r="E18" s="109" t="s">
        <v>79</v>
      </c>
      <c r="F18" s="109" t="s">
        <v>79</v>
      </c>
      <c r="G18" s="109" t="s">
        <v>79</v>
      </c>
      <c r="H18" s="109" t="s">
        <v>79</v>
      </c>
      <c r="I18" s="109" t="s">
        <v>79</v>
      </c>
      <c r="J18" s="30">
        <f t="shared" si="0"/>
        <v>0</v>
      </c>
      <c r="K18" s="30" t="str">
        <f t="shared" si="1"/>
        <v/>
      </c>
      <c r="L18" s="26"/>
      <c r="M18" s="34"/>
      <c r="N18" s="34"/>
      <c r="O18" s="34"/>
      <c r="P18" s="34"/>
      <c r="Q18" s="34"/>
    </row>
    <row r="19" spans="2:17" ht="24" customHeight="1" outlineLevel="1" x14ac:dyDescent="0.2">
      <c r="B19" s="102" t="s">
        <v>11</v>
      </c>
      <c r="C19" s="21">
        <f>77304302.19</f>
        <v>77304302.189999998</v>
      </c>
      <c r="D19" s="21">
        <f>35568827.57</f>
        <v>35568827.57</v>
      </c>
      <c r="E19" s="109" t="s">
        <v>79</v>
      </c>
      <c r="F19" s="109" t="s">
        <v>79</v>
      </c>
      <c r="G19" s="109" t="s">
        <v>79</v>
      </c>
      <c r="H19" s="109" t="s">
        <v>79</v>
      </c>
      <c r="I19" s="109" t="s">
        <v>79</v>
      </c>
      <c r="J19" s="30">
        <f t="shared" si="0"/>
        <v>0.1882164050181139</v>
      </c>
      <c r="K19" s="30">
        <f t="shared" si="1"/>
        <v>46.011446403821424</v>
      </c>
      <c r="L19" s="26"/>
      <c r="M19" s="34"/>
      <c r="N19" s="34"/>
      <c r="O19" s="34"/>
      <c r="P19" s="34"/>
      <c r="Q19" s="34"/>
    </row>
    <row r="20" spans="2:17" ht="12.75" customHeight="1" outlineLevel="1" x14ac:dyDescent="0.2">
      <c r="B20" s="112" t="s">
        <v>6</v>
      </c>
      <c r="C20" s="21">
        <f>5099771</f>
        <v>5099771</v>
      </c>
      <c r="D20" s="21">
        <f>1665670.32</f>
        <v>1665670.32</v>
      </c>
      <c r="E20" s="109" t="s">
        <v>79</v>
      </c>
      <c r="F20" s="109" t="s">
        <v>79</v>
      </c>
      <c r="G20" s="109" t="s">
        <v>79</v>
      </c>
      <c r="H20" s="109" t="s">
        <v>79</v>
      </c>
      <c r="I20" s="109" t="s">
        <v>79</v>
      </c>
      <c r="J20" s="30">
        <f t="shared" si="0"/>
        <v>8.814079658903174E-3</v>
      </c>
      <c r="K20" s="30">
        <f t="shared" si="1"/>
        <v>32.661668925918441</v>
      </c>
      <c r="L20" s="26"/>
      <c r="M20" s="34"/>
      <c r="N20" s="34"/>
      <c r="O20" s="34"/>
      <c r="P20" s="34"/>
      <c r="Q20" s="34"/>
    </row>
    <row r="21" spans="2:17" ht="33.75" customHeight="1" outlineLevel="1" x14ac:dyDescent="0.2">
      <c r="B21" s="102" t="s">
        <v>54</v>
      </c>
      <c r="C21" s="21">
        <f>344462218.23</f>
        <v>344462218.23000002</v>
      </c>
      <c r="D21" s="21">
        <f>111809187.4</f>
        <v>111809187.40000001</v>
      </c>
      <c r="E21" s="109" t="s">
        <v>79</v>
      </c>
      <c r="F21" s="109" t="s">
        <v>79</v>
      </c>
      <c r="G21" s="109" t="s">
        <v>79</v>
      </c>
      <c r="H21" s="109" t="s">
        <v>79</v>
      </c>
      <c r="I21" s="109" t="s">
        <v>79</v>
      </c>
      <c r="J21" s="30">
        <f t="shared" si="0"/>
        <v>0.59165074415256014</v>
      </c>
      <c r="K21" s="30">
        <f t="shared" si="1"/>
        <v>32.459056895855021</v>
      </c>
      <c r="L21" s="26"/>
      <c r="M21" s="34"/>
      <c r="N21" s="34"/>
      <c r="O21" s="34"/>
      <c r="P21" s="34"/>
      <c r="Q21" s="34"/>
    </row>
    <row r="22" spans="2:17" ht="12.75" customHeight="1" outlineLevel="1" x14ac:dyDescent="0.2">
      <c r="B22" s="112" t="s">
        <v>6</v>
      </c>
      <c r="C22" s="21">
        <f>234756495.23</f>
        <v>234756495.22999999</v>
      </c>
      <c r="D22" s="21">
        <f>55061720.47</f>
        <v>55061720.469999999</v>
      </c>
      <c r="E22" s="109" t="s">
        <v>79</v>
      </c>
      <c r="F22" s="109" t="s">
        <v>79</v>
      </c>
      <c r="G22" s="109" t="s">
        <v>79</v>
      </c>
      <c r="H22" s="109" t="s">
        <v>79</v>
      </c>
      <c r="I22" s="109" t="s">
        <v>79</v>
      </c>
      <c r="J22" s="30">
        <f t="shared" si="0"/>
        <v>0.29136521468356325</v>
      </c>
      <c r="K22" s="30">
        <f t="shared" si="1"/>
        <v>23.45482301397195</v>
      </c>
      <c r="L22" s="26"/>
      <c r="M22" s="34"/>
      <c r="N22" s="34"/>
      <c r="O22" s="34"/>
      <c r="P22" s="34"/>
      <c r="Q22" s="34"/>
    </row>
    <row r="23" spans="2:17" outlineLevel="1" x14ac:dyDescent="0.2">
      <c r="B23" s="102" t="s">
        <v>8</v>
      </c>
      <c r="C23" s="21">
        <f>38598000</f>
        <v>38598000</v>
      </c>
      <c r="D23" s="21">
        <f>29414349.06</f>
        <v>29414349.059999999</v>
      </c>
      <c r="E23" s="109" t="s">
        <v>79</v>
      </c>
      <c r="F23" s="109" t="s">
        <v>79</v>
      </c>
      <c r="G23" s="109" t="s">
        <v>79</v>
      </c>
      <c r="H23" s="109" t="s">
        <v>79</v>
      </c>
      <c r="I23" s="109" t="s">
        <v>79</v>
      </c>
      <c r="J23" s="30">
        <f t="shared" si="0"/>
        <v>0.15564929783321327</v>
      </c>
      <c r="K23" s="30">
        <f t="shared" si="1"/>
        <v>76.206925384734959</v>
      </c>
      <c r="L23" s="26"/>
      <c r="M23" s="34"/>
      <c r="N23" s="34"/>
      <c r="O23" s="34"/>
      <c r="P23" s="34"/>
      <c r="Q23" s="34"/>
    </row>
    <row r="24" spans="2:17" ht="12.75" customHeight="1" outlineLevel="1" x14ac:dyDescent="0.2">
      <c r="B24" s="112" t="s">
        <v>6</v>
      </c>
      <c r="C24" s="21">
        <f>6875000</f>
        <v>6875000</v>
      </c>
      <c r="D24" s="21">
        <f>6875000</f>
        <v>6875000</v>
      </c>
      <c r="E24" s="109" t="s">
        <v>79</v>
      </c>
      <c r="F24" s="109" t="s">
        <v>79</v>
      </c>
      <c r="G24" s="109" t="s">
        <v>79</v>
      </c>
      <c r="H24" s="109" t="s">
        <v>79</v>
      </c>
      <c r="I24" s="109" t="s">
        <v>79</v>
      </c>
      <c r="J24" s="30">
        <f t="shared" si="0"/>
        <v>3.6379826744442033E-2</v>
      </c>
      <c r="K24" s="30">
        <f t="shared" si="1"/>
        <v>100</v>
      </c>
      <c r="L24" s="26"/>
      <c r="M24" s="34"/>
      <c r="N24" s="34"/>
      <c r="O24" s="34"/>
      <c r="P24" s="34"/>
      <c r="Q24" s="34"/>
    </row>
    <row r="25" spans="2:17" ht="67.5" outlineLevel="1" x14ac:dyDescent="0.2">
      <c r="B25" s="102" t="s">
        <v>70</v>
      </c>
      <c r="C25" s="21">
        <f>0</f>
        <v>0</v>
      </c>
      <c r="D25" s="21">
        <f>0</f>
        <v>0</v>
      </c>
      <c r="E25" s="109" t="s">
        <v>79</v>
      </c>
      <c r="F25" s="109" t="s">
        <v>79</v>
      </c>
      <c r="G25" s="109" t="s">
        <v>79</v>
      </c>
      <c r="H25" s="109" t="s">
        <v>79</v>
      </c>
      <c r="I25" s="109" t="s">
        <v>79</v>
      </c>
      <c r="J25" s="30">
        <f t="shared" si="0"/>
        <v>0</v>
      </c>
      <c r="K25" s="30" t="str">
        <f t="shared" si="1"/>
        <v/>
      </c>
      <c r="L25" s="26"/>
      <c r="M25" s="34"/>
      <c r="N25" s="34"/>
      <c r="O25" s="34"/>
      <c r="P25" s="34"/>
      <c r="Q25" s="34"/>
    </row>
    <row r="26" spans="2:17" ht="12.75" customHeight="1" outlineLevel="1" x14ac:dyDescent="0.2">
      <c r="B26" s="112" t="s">
        <v>71</v>
      </c>
      <c r="C26" s="21">
        <f>0</f>
        <v>0</v>
      </c>
      <c r="D26" s="21">
        <f>0</f>
        <v>0</v>
      </c>
      <c r="E26" s="109" t="s">
        <v>79</v>
      </c>
      <c r="F26" s="109" t="s">
        <v>79</v>
      </c>
      <c r="G26" s="109" t="s">
        <v>79</v>
      </c>
      <c r="H26" s="109" t="s">
        <v>79</v>
      </c>
      <c r="I26" s="109" t="s">
        <v>79</v>
      </c>
      <c r="J26" s="30">
        <f t="shared" si="0"/>
        <v>0</v>
      </c>
      <c r="K26" s="30" t="str">
        <f t="shared" si="1"/>
        <v/>
      </c>
      <c r="L26" s="26"/>
      <c r="M26" s="34"/>
      <c r="N26" s="34"/>
      <c r="O26" s="34"/>
      <c r="P26" s="34"/>
      <c r="Q26" s="34"/>
    </row>
    <row r="27" spans="2:17" ht="45" outlineLevel="1" x14ac:dyDescent="0.2">
      <c r="B27" s="113" t="s">
        <v>69</v>
      </c>
      <c r="C27" s="67">
        <f>940832359.63</f>
        <v>940832359.63</v>
      </c>
      <c r="D27" s="67">
        <f>265029518.19</f>
        <v>265029518.19</v>
      </c>
      <c r="E27" s="109" t="s">
        <v>79</v>
      </c>
      <c r="F27" s="109" t="s">
        <v>79</v>
      </c>
      <c r="G27" s="109" t="s">
        <v>79</v>
      </c>
      <c r="H27" s="109" t="s">
        <v>79</v>
      </c>
      <c r="I27" s="109" t="s">
        <v>79</v>
      </c>
      <c r="J27" s="68">
        <f t="shared" si="0"/>
        <v>1.4024331569331123</v>
      </c>
      <c r="K27" s="68">
        <f t="shared" si="1"/>
        <v>28.169685648804411</v>
      </c>
      <c r="L27" s="26"/>
      <c r="M27" s="34"/>
      <c r="N27" s="34"/>
      <c r="O27" s="34"/>
      <c r="P27" s="34"/>
      <c r="Q27" s="34"/>
    </row>
    <row r="28" spans="2:17" ht="12.75" customHeight="1" outlineLevel="1" x14ac:dyDescent="0.2">
      <c r="B28" s="112" t="s">
        <v>6</v>
      </c>
      <c r="C28" s="21">
        <f>940832359.63</f>
        <v>940832359.63</v>
      </c>
      <c r="D28" s="21">
        <f>265029518.19</f>
        <v>265029518.19</v>
      </c>
      <c r="E28" s="109" t="s">
        <v>79</v>
      </c>
      <c r="F28" s="109" t="s">
        <v>79</v>
      </c>
      <c r="G28" s="109" t="s">
        <v>79</v>
      </c>
      <c r="H28" s="109" t="s">
        <v>79</v>
      </c>
      <c r="I28" s="109" t="s">
        <v>79</v>
      </c>
      <c r="J28" s="30">
        <f t="shared" si="0"/>
        <v>1.4024331569331123</v>
      </c>
      <c r="K28" s="30">
        <f t="shared" si="1"/>
        <v>28.169685648804411</v>
      </c>
      <c r="L28" s="26"/>
      <c r="M28" s="34"/>
      <c r="N28" s="34"/>
      <c r="O28" s="34"/>
      <c r="P28" s="34"/>
      <c r="Q28" s="34"/>
    </row>
    <row r="29" spans="2:17" ht="22.5" outlineLevel="1" x14ac:dyDescent="0.2">
      <c r="B29" s="113" t="s">
        <v>87</v>
      </c>
      <c r="C29" s="21">
        <f>23978386.05</f>
        <v>23978386.050000001</v>
      </c>
      <c r="D29" s="21">
        <f>25686725.22</f>
        <v>25686725.219999999</v>
      </c>
      <c r="E29" s="109" t="s">
        <v>79</v>
      </c>
      <c r="F29" s="109" t="s">
        <v>79</v>
      </c>
      <c r="G29" s="109" t="s">
        <v>79</v>
      </c>
      <c r="H29" s="109" t="s">
        <v>79</v>
      </c>
      <c r="I29" s="109" t="s">
        <v>79</v>
      </c>
      <c r="J29" s="30">
        <f t="shared" si="0"/>
        <v>0.13592416191064577</v>
      </c>
      <c r="K29" s="30">
        <f t="shared" si="1"/>
        <v>107.12449606256965</v>
      </c>
      <c r="L29" s="26"/>
      <c r="M29" s="34"/>
      <c r="N29" s="34"/>
      <c r="O29" s="34"/>
      <c r="P29" s="34"/>
      <c r="Q29" s="34"/>
    </row>
    <row r="30" spans="2:17" ht="12.75" customHeight="1" outlineLevel="1" x14ac:dyDescent="0.2">
      <c r="B30" s="112" t="s">
        <v>6</v>
      </c>
      <c r="C30" s="21">
        <f>0</f>
        <v>0</v>
      </c>
      <c r="D30" s="21">
        <f>0</f>
        <v>0</v>
      </c>
      <c r="E30" s="109" t="s">
        <v>79</v>
      </c>
      <c r="F30" s="109" t="s">
        <v>79</v>
      </c>
      <c r="G30" s="109" t="s">
        <v>79</v>
      </c>
      <c r="H30" s="109" t="s">
        <v>79</v>
      </c>
      <c r="I30" s="109" t="s">
        <v>79</v>
      </c>
      <c r="J30" s="30">
        <f t="shared" si="0"/>
        <v>0</v>
      </c>
      <c r="K30" s="30" t="str">
        <f t="shared" si="1"/>
        <v/>
      </c>
      <c r="L30" s="26"/>
      <c r="M30" s="34"/>
      <c r="N30" s="34"/>
      <c r="O30" s="34"/>
      <c r="P30" s="34"/>
      <c r="Q30" s="34"/>
    </row>
    <row r="31" spans="2:17" ht="13.5" customHeight="1" outlineLevel="1" x14ac:dyDescent="0.2">
      <c r="B31" s="101" t="s">
        <v>46</v>
      </c>
      <c r="C31" s="55">
        <f>1920435181.03</f>
        <v>1920435181.03</v>
      </c>
      <c r="D31" s="55">
        <f>556021336.91</f>
        <v>556021336.90999997</v>
      </c>
      <c r="E31" s="94" t="s">
        <v>79</v>
      </c>
      <c r="F31" s="94" t="s">
        <v>79</v>
      </c>
      <c r="G31" s="94" t="s">
        <v>79</v>
      </c>
      <c r="H31" s="94" t="s">
        <v>79</v>
      </c>
      <c r="I31" s="94" t="s">
        <v>79</v>
      </c>
      <c r="J31" s="56">
        <f t="shared" si="0"/>
        <v>2.9422487131634663</v>
      </c>
      <c r="K31" s="56">
        <f t="shared" si="1"/>
        <v>28.952882263476621</v>
      </c>
      <c r="L31" s="26"/>
      <c r="M31" s="34"/>
      <c r="N31" s="34"/>
      <c r="O31" s="34"/>
      <c r="P31" s="34"/>
      <c r="Q31" s="34"/>
    </row>
    <row r="32" spans="2:17" ht="12.75" customHeight="1" outlineLevel="1" x14ac:dyDescent="0.2">
      <c r="B32" s="103" t="s">
        <v>47</v>
      </c>
      <c r="C32" s="20">
        <f>636462388</f>
        <v>636462388</v>
      </c>
      <c r="D32" s="20">
        <f>96618317.43</f>
        <v>96618317.430000007</v>
      </c>
      <c r="E32" s="109" t="s">
        <v>79</v>
      </c>
      <c r="F32" s="109" t="s">
        <v>79</v>
      </c>
      <c r="G32" s="109" t="s">
        <v>79</v>
      </c>
      <c r="H32" s="109" t="s">
        <v>79</v>
      </c>
      <c r="I32" s="109" t="s">
        <v>79</v>
      </c>
      <c r="J32" s="30">
        <f t="shared" si="0"/>
        <v>0.51126656704624052</v>
      </c>
      <c r="K32" s="30">
        <f t="shared" si="1"/>
        <v>15.180522722420481</v>
      </c>
      <c r="L32" s="26"/>
      <c r="M32" s="34"/>
      <c r="N32" s="34"/>
      <c r="O32" s="34"/>
      <c r="P32" s="34"/>
      <c r="Q32" s="34"/>
    </row>
    <row r="33" spans="1:26" ht="14.25" customHeight="1" outlineLevel="1" x14ac:dyDescent="0.2">
      <c r="B33" s="101" t="s">
        <v>59</v>
      </c>
      <c r="C33" s="55">
        <f>6883130464.27</f>
        <v>6883130464.2700005</v>
      </c>
      <c r="D33" s="55">
        <f>1946468661.95</f>
        <v>1946468661.95</v>
      </c>
      <c r="E33" s="94" t="s">
        <v>79</v>
      </c>
      <c r="F33" s="94" t="s">
        <v>79</v>
      </c>
      <c r="G33" s="94" t="s">
        <v>79</v>
      </c>
      <c r="H33" s="94" t="s">
        <v>79</v>
      </c>
      <c r="I33" s="94" t="s">
        <v>79</v>
      </c>
      <c r="J33" s="59">
        <f t="shared" si="0"/>
        <v>10.299955299669367</v>
      </c>
      <c r="K33" s="59">
        <f t="shared" si="1"/>
        <v>28.278828536725044</v>
      </c>
      <c r="L33" s="26"/>
      <c r="M33" s="34"/>
      <c r="N33" s="34"/>
      <c r="O33" s="34"/>
      <c r="P33" s="34"/>
      <c r="Q33" s="34"/>
    </row>
    <row r="34" spans="1:26" ht="12.75" customHeight="1" outlineLevel="1" x14ac:dyDescent="0.2">
      <c r="B34" s="103" t="s">
        <v>60</v>
      </c>
      <c r="C34" s="20">
        <f>4287133937.89</f>
        <v>4287133937.8899999</v>
      </c>
      <c r="D34" s="20">
        <f>807461208.68</f>
        <v>807461208.67999995</v>
      </c>
      <c r="E34" s="109" t="s">
        <v>79</v>
      </c>
      <c r="F34" s="109" t="s">
        <v>79</v>
      </c>
      <c r="G34" s="109" t="s">
        <v>79</v>
      </c>
      <c r="H34" s="109" t="s">
        <v>79</v>
      </c>
      <c r="I34" s="109" t="s">
        <v>79</v>
      </c>
      <c r="J34" s="30">
        <f t="shared" si="0"/>
        <v>4.2727707454016217</v>
      </c>
      <c r="K34" s="30">
        <f t="shared" si="1"/>
        <v>18.834522559316362</v>
      </c>
      <c r="L34" s="26"/>
      <c r="M34" s="34"/>
      <c r="N34" s="34"/>
      <c r="O34" s="34"/>
      <c r="P34" s="34"/>
      <c r="Q34" s="34"/>
    </row>
    <row r="35" spans="1:26" s="5" customFormat="1" ht="27" customHeight="1" x14ac:dyDescent="0.2">
      <c r="B35" s="96" t="s">
        <v>99</v>
      </c>
      <c r="C35" s="22">
        <f>5583836546.83</f>
        <v>5583836546.8299999</v>
      </c>
      <c r="D35" s="22">
        <f>2792972463.72</f>
        <v>2792972463.7199998</v>
      </c>
      <c r="E35" s="94" t="s">
        <v>79</v>
      </c>
      <c r="F35" s="94" t="s">
        <v>79</v>
      </c>
      <c r="G35" s="94" t="s">
        <v>79</v>
      </c>
      <c r="H35" s="94" t="s">
        <v>79</v>
      </c>
      <c r="I35" s="94" t="s">
        <v>79</v>
      </c>
      <c r="J35" s="29">
        <f t="shared" si="0"/>
        <v>14.779324266491782</v>
      </c>
      <c r="K35" s="29">
        <f t="shared" si="1"/>
        <v>50.018879318836767</v>
      </c>
      <c r="L35" s="27"/>
      <c r="M35" s="48"/>
      <c r="N35" s="48"/>
      <c r="O35" s="48"/>
      <c r="P35" s="48"/>
      <c r="Q35" s="48"/>
    </row>
    <row r="36" spans="1:26" ht="12.75" customHeight="1" outlineLevel="1" x14ac:dyDescent="0.2">
      <c r="B36" s="60" t="s">
        <v>100</v>
      </c>
      <c r="C36" s="21">
        <f>0</f>
        <v>0</v>
      </c>
      <c r="D36" s="21">
        <f>0</f>
        <v>0</v>
      </c>
      <c r="E36" s="109" t="s">
        <v>79</v>
      </c>
      <c r="F36" s="109" t="s">
        <v>79</v>
      </c>
      <c r="G36" s="109" t="s">
        <v>79</v>
      </c>
      <c r="H36" s="109" t="s">
        <v>79</v>
      </c>
      <c r="I36" s="109" t="s">
        <v>79</v>
      </c>
      <c r="J36" s="30">
        <f t="shared" si="0"/>
        <v>0</v>
      </c>
      <c r="K36" s="30" t="str">
        <f t="shared" si="1"/>
        <v/>
      </c>
      <c r="L36" s="27"/>
      <c r="M36" s="34"/>
      <c r="N36" s="34"/>
      <c r="O36" s="34"/>
      <c r="P36" s="34"/>
      <c r="Q36" s="34"/>
    </row>
    <row r="37" spans="1:26" ht="22.5" outlineLevel="1" x14ac:dyDescent="0.2">
      <c r="B37" s="60" t="s">
        <v>101</v>
      </c>
      <c r="C37" s="21">
        <f>26605858.86</f>
        <v>26605858.859999999</v>
      </c>
      <c r="D37" s="21">
        <f>14357120.04</f>
        <v>14357120.039999999</v>
      </c>
      <c r="E37" s="109" t="s">
        <v>79</v>
      </c>
      <c r="F37" s="109" t="s">
        <v>79</v>
      </c>
      <c r="G37" s="109" t="s">
        <v>79</v>
      </c>
      <c r="H37" s="109" t="s">
        <v>79</v>
      </c>
      <c r="I37" s="109" t="s">
        <v>79</v>
      </c>
      <c r="J37" s="30">
        <f t="shared" si="0"/>
        <v>7.5972296669724604E-2</v>
      </c>
      <c r="K37" s="30">
        <f t="shared" si="1"/>
        <v>53.962249877168595</v>
      </c>
      <c r="L37" s="27"/>
      <c r="M37" s="34"/>
      <c r="N37" s="34"/>
      <c r="O37" s="34"/>
      <c r="P37" s="34"/>
      <c r="Q37" s="34"/>
    </row>
    <row r="38" spans="1:26" ht="12.75" customHeight="1" outlineLevel="1" x14ac:dyDescent="0.2">
      <c r="B38" s="102" t="s">
        <v>6</v>
      </c>
      <c r="C38" s="21">
        <f>7084906</f>
        <v>7084906</v>
      </c>
      <c r="D38" s="21">
        <f>4108863</f>
        <v>4108863</v>
      </c>
      <c r="E38" s="109" t="s">
        <v>79</v>
      </c>
      <c r="F38" s="109" t="s">
        <v>79</v>
      </c>
      <c r="G38" s="109" t="s">
        <v>79</v>
      </c>
      <c r="H38" s="109" t="s">
        <v>79</v>
      </c>
      <c r="I38" s="109" t="s">
        <v>79</v>
      </c>
      <c r="J38" s="30">
        <f t="shared" si="0"/>
        <v>2.1742505317330664E-2</v>
      </c>
      <c r="K38" s="30">
        <f t="shared" si="1"/>
        <v>57.994601480951196</v>
      </c>
      <c r="L38" s="27"/>
      <c r="M38" s="34"/>
      <c r="N38" s="34"/>
      <c r="O38" s="34"/>
      <c r="P38" s="34"/>
      <c r="Q38" s="34"/>
    </row>
    <row r="39" spans="1:26" s="5" customFormat="1" x14ac:dyDescent="0.2">
      <c r="B39" s="97" t="s">
        <v>86</v>
      </c>
      <c r="C39" s="55">
        <f>+C5</f>
        <v>39892195599.419998</v>
      </c>
      <c r="D39" s="55">
        <f>+D5</f>
        <v>18897836013.060001</v>
      </c>
      <c r="E39" s="94" t="s">
        <v>79</v>
      </c>
      <c r="F39" s="94" t="s">
        <v>79</v>
      </c>
      <c r="G39" s="94" t="s">
        <v>79</v>
      </c>
      <c r="H39" s="94" t="s">
        <v>79</v>
      </c>
      <c r="I39" s="94" t="s">
        <v>79</v>
      </c>
      <c r="J39" s="59">
        <f>IF($D$5=0,"",100*$D39/$D$39)</f>
        <v>100</v>
      </c>
      <c r="K39" s="91">
        <f t="shared" si="1"/>
        <v>47.372263494403306</v>
      </c>
      <c r="L39" s="93"/>
      <c r="M39" s="48"/>
      <c r="N39" s="48"/>
      <c r="O39" s="48"/>
      <c r="P39" s="48"/>
      <c r="Q39" s="48"/>
    </row>
    <row r="40" spans="1:26" s="5" customFormat="1" x14ac:dyDescent="0.2">
      <c r="B40" s="98" t="s">
        <v>49</v>
      </c>
      <c r="C40" s="21">
        <f>7774293906.43</f>
        <v>7774293906.4300003</v>
      </c>
      <c r="D40" s="21">
        <f>1750345398.43</f>
        <v>1750345398.4300001</v>
      </c>
      <c r="E40" s="109" t="s">
        <v>79</v>
      </c>
      <c r="F40" s="109" t="s">
        <v>79</v>
      </c>
      <c r="G40" s="109" t="s">
        <v>79</v>
      </c>
      <c r="H40" s="109" t="s">
        <v>79</v>
      </c>
      <c r="I40" s="109" t="s">
        <v>79</v>
      </c>
      <c r="J40" s="30">
        <f>IF($D$5=0,"",100*$D40/$D$39)</f>
        <v>9.2621472491366923</v>
      </c>
      <c r="K40" s="92">
        <f t="shared" si="1"/>
        <v>22.514525685507156</v>
      </c>
      <c r="L40" s="93"/>
      <c r="M40" s="48"/>
      <c r="N40" s="48"/>
      <c r="O40" s="48"/>
      <c r="P40" s="48"/>
      <c r="Q40" s="48"/>
    </row>
    <row r="41" spans="1:26" s="5" customFormat="1" x14ac:dyDescent="0.2">
      <c r="A41" s="2"/>
      <c r="B41" s="98" t="s">
        <v>50</v>
      </c>
      <c r="C41" s="21">
        <f>C39-C40</f>
        <v>32117901692.989998</v>
      </c>
      <c r="D41" s="21">
        <f>D39-D40</f>
        <v>17147490614.630001</v>
      </c>
      <c r="E41" s="109" t="s">
        <v>79</v>
      </c>
      <c r="F41" s="109" t="s">
        <v>79</v>
      </c>
      <c r="G41" s="109" t="s">
        <v>79</v>
      </c>
      <c r="H41" s="109" t="s">
        <v>79</v>
      </c>
      <c r="I41" s="109" t="s">
        <v>79</v>
      </c>
      <c r="J41" s="30">
        <f>IF($D$5=0,"",100*$D41/$D$39)</f>
        <v>90.737852750863297</v>
      </c>
      <c r="K41" s="92">
        <f t="shared" si="1"/>
        <v>53.389199514153141</v>
      </c>
      <c r="L41" s="93"/>
      <c r="M41" s="49"/>
      <c r="N41" s="49"/>
      <c r="O41" s="50"/>
      <c r="P41" s="50"/>
      <c r="Q41" s="19"/>
    </row>
    <row r="42" spans="1:26" s="5" customFormat="1" x14ac:dyDescent="0.2">
      <c r="A42" s="2"/>
      <c r="B42" s="118" t="s">
        <v>88</v>
      </c>
      <c r="C42" s="87"/>
      <c r="D42" s="87"/>
      <c r="E42" s="117"/>
      <c r="F42" s="117"/>
      <c r="G42" s="117"/>
      <c r="H42" s="117"/>
      <c r="I42" s="117"/>
      <c r="J42" s="58"/>
      <c r="K42" s="58"/>
      <c r="L42" s="58"/>
      <c r="M42" s="49"/>
      <c r="N42" s="49"/>
      <c r="O42" s="50"/>
      <c r="P42" s="50"/>
      <c r="Q42" s="19"/>
    </row>
    <row r="43" spans="1:26" ht="18" customHeight="1" x14ac:dyDescent="0.2">
      <c r="B43" s="99" t="str">
        <f>CONCATENATE("Informacja z wykonania budżetów województw za ",$D$115," ",$C$116," rok    ",$C$118,"")</f>
        <v xml:space="preserve">Informacja z wykonania budżetów województw za II Kwartały 2025 rok    </v>
      </c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</row>
    <row r="44" spans="1:26" s="5" customFormat="1" ht="10.5" customHeight="1" x14ac:dyDescent="0.2">
      <c r="B44" s="6"/>
      <c r="C44" s="7"/>
      <c r="D44" s="8"/>
      <c r="E44" s="8"/>
      <c r="F44" s="4"/>
      <c r="G44" s="4"/>
      <c r="H44" s="4"/>
      <c r="I44" s="4"/>
      <c r="J44" s="4"/>
      <c r="K44" s="9"/>
      <c r="L44" s="9"/>
      <c r="M44" s="3"/>
    </row>
    <row r="45" spans="1:26" ht="29.25" customHeight="1" x14ac:dyDescent="0.2">
      <c r="B45" s="136" t="s">
        <v>0</v>
      </c>
      <c r="C45" s="137" t="s">
        <v>31</v>
      </c>
      <c r="D45" s="137" t="s">
        <v>33</v>
      </c>
      <c r="E45" s="137" t="s">
        <v>32</v>
      </c>
      <c r="F45" s="137" t="s">
        <v>12</v>
      </c>
      <c r="G45" s="137"/>
      <c r="H45" s="137"/>
      <c r="I45" s="130" t="s">
        <v>61</v>
      </c>
      <c r="J45" s="137" t="s">
        <v>2</v>
      </c>
      <c r="K45" s="148" t="s">
        <v>18</v>
      </c>
      <c r="M45" s="10"/>
      <c r="N45" s="49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ht="18" customHeight="1" x14ac:dyDescent="0.2">
      <c r="B46" s="136"/>
      <c r="C46" s="137"/>
      <c r="D46" s="137"/>
      <c r="E46" s="139"/>
      <c r="F46" s="138" t="s">
        <v>34</v>
      </c>
      <c r="G46" s="151" t="s">
        <v>23</v>
      </c>
      <c r="H46" s="139"/>
      <c r="I46" s="131"/>
      <c r="J46" s="137"/>
      <c r="K46" s="148"/>
      <c r="L46" s="11"/>
      <c r="M46" s="12"/>
      <c r="N46" s="49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ht="55.5" customHeight="1" x14ac:dyDescent="0.2">
      <c r="B47" s="136"/>
      <c r="C47" s="137"/>
      <c r="D47" s="137"/>
      <c r="E47" s="139"/>
      <c r="F47" s="139"/>
      <c r="G47" s="15" t="s">
        <v>29</v>
      </c>
      <c r="H47" s="15" t="s">
        <v>30</v>
      </c>
      <c r="I47" s="132"/>
      <c r="J47" s="137"/>
      <c r="K47" s="148"/>
      <c r="L47" s="11"/>
      <c r="M47" s="10"/>
      <c r="N47" s="49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5" customHeight="1" x14ac:dyDescent="0.2">
      <c r="B48" s="136"/>
      <c r="C48" s="128" t="s">
        <v>53</v>
      </c>
      <c r="D48" s="133"/>
      <c r="E48" s="133"/>
      <c r="F48" s="133"/>
      <c r="G48" s="133"/>
      <c r="H48" s="133"/>
      <c r="I48" s="129"/>
      <c r="J48" s="147" t="s">
        <v>4</v>
      </c>
      <c r="K48" s="147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2:26" ht="11.25" customHeight="1" x14ac:dyDescent="0.2">
      <c r="B49" s="14">
        <v>1</v>
      </c>
      <c r="C49" s="16">
        <v>2</v>
      </c>
      <c r="D49" s="16">
        <v>3</v>
      </c>
      <c r="E49" s="16">
        <v>4</v>
      </c>
      <c r="F49" s="14">
        <v>5</v>
      </c>
      <c r="G49" s="14">
        <v>6</v>
      </c>
      <c r="H49" s="16">
        <v>7</v>
      </c>
      <c r="I49" s="16">
        <v>8</v>
      </c>
      <c r="J49" s="14">
        <v>9</v>
      </c>
      <c r="K49" s="16">
        <v>10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2:26" ht="27" customHeight="1" x14ac:dyDescent="0.2">
      <c r="B50" s="95" t="s">
        <v>37</v>
      </c>
      <c r="C50" s="61">
        <f>46477141318.19</f>
        <v>46477141318.190002</v>
      </c>
      <c r="D50" s="72">
        <f>13553228024.06</f>
        <v>13553228024.059999</v>
      </c>
      <c r="E50" s="72">
        <f>33389266647.9</f>
        <v>33389266647.900002</v>
      </c>
      <c r="F50" s="61">
        <f>645211790.96</f>
        <v>645211790.96000004</v>
      </c>
      <c r="G50" s="61">
        <f>31045.42</f>
        <v>31045.42</v>
      </c>
      <c r="H50" s="61">
        <f>104149.91</f>
        <v>104149.91</v>
      </c>
      <c r="I50" s="73">
        <f>0</f>
        <v>0</v>
      </c>
      <c r="J50" s="47">
        <f>IF($D$50=0,"",100*$D50/$D$50)</f>
        <v>100</v>
      </c>
      <c r="K50" s="47">
        <f>IF(C50=0,"",100*D50/C50)</f>
        <v>29.161062061180605</v>
      </c>
      <c r="L50" s="34"/>
      <c r="O50" s="88"/>
    </row>
    <row r="51" spans="2:26" x14ac:dyDescent="0.2">
      <c r="B51" s="96" t="s">
        <v>14</v>
      </c>
      <c r="C51" s="23">
        <f>20335660279.38</f>
        <v>20335660279.380001</v>
      </c>
      <c r="D51" s="23">
        <f>3251249381.95</f>
        <v>3251249381.9499998</v>
      </c>
      <c r="E51" s="23">
        <f>13633878766.95</f>
        <v>13633878766.950001</v>
      </c>
      <c r="F51" s="23">
        <f>333042443.62</f>
        <v>333042443.62</v>
      </c>
      <c r="G51" s="23">
        <f>16766</f>
        <v>16766</v>
      </c>
      <c r="H51" s="23">
        <f>90746.83</f>
        <v>90746.83</v>
      </c>
      <c r="I51" s="74">
        <f>0</f>
        <v>0</v>
      </c>
      <c r="J51" s="47">
        <f t="shared" ref="J51:J59" si="2">IF($D$50=0,"",100*$D51/$D$50)</f>
        <v>23.98874553116282</v>
      </c>
      <c r="K51" s="47">
        <f t="shared" ref="K51:K59" si="3">IF(C51=0,"",100*D51/C51)</f>
        <v>15.9879214015328</v>
      </c>
      <c r="L51" s="34"/>
      <c r="O51" s="81"/>
    </row>
    <row r="52" spans="2:26" ht="12.75" customHeight="1" outlineLevel="1" x14ac:dyDescent="0.2">
      <c r="B52" s="28" t="s">
        <v>13</v>
      </c>
      <c r="C52" s="20">
        <f>19529379639.38</f>
        <v>19529379639.380001</v>
      </c>
      <c r="D52" s="20">
        <f>2942603154.25</f>
        <v>2942603154.25</v>
      </c>
      <c r="E52" s="20">
        <f>13281698472.75</f>
        <v>13281698472.75</v>
      </c>
      <c r="F52" s="20">
        <f>333042443.62</f>
        <v>333042443.62</v>
      </c>
      <c r="G52" s="20">
        <f>16766</f>
        <v>16766</v>
      </c>
      <c r="H52" s="20">
        <f>90746.83</f>
        <v>90746.83</v>
      </c>
      <c r="I52" s="75">
        <f>0</f>
        <v>0</v>
      </c>
      <c r="J52" s="47">
        <f t="shared" si="2"/>
        <v>21.711456112346252</v>
      </c>
      <c r="K52" s="47">
        <f t="shared" si="3"/>
        <v>15.067571057487102</v>
      </c>
      <c r="L52" s="34"/>
      <c r="O52" s="87"/>
    </row>
    <row r="53" spans="2:26" ht="27" customHeight="1" x14ac:dyDescent="0.2">
      <c r="B53" s="96" t="s">
        <v>38</v>
      </c>
      <c r="C53" s="23">
        <f t="shared" ref="C53:I53" si="4">C50-C51</f>
        <v>26141481038.810001</v>
      </c>
      <c r="D53" s="23">
        <f>D50-D51</f>
        <v>10301978642.110001</v>
      </c>
      <c r="E53" s="23">
        <f>E50-E51</f>
        <v>19755387880.950001</v>
      </c>
      <c r="F53" s="23">
        <f t="shared" si="4"/>
        <v>312169347.34000003</v>
      </c>
      <c r="G53" s="23">
        <f t="shared" si="4"/>
        <v>14279.419999999998</v>
      </c>
      <c r="H53" s="23">
        <f t="shared" si="4"/>
        <v>13403.080000000002</v>
      </c>
      <c r="I53" s="74">
        <f t="shared" si="4"/>
        <v>0</v>
      </c>
      <c r="J53" s="47">
        <f t="shared" si="2"/>
        <v>76.01125446883718</v>
      </c>
      <c r="K53" s="47">
        <f t="shared" si="3"/>
        <v>39.408550061932381</v>
      </c>
      <c r="L53" s="34"/>
      <c r="O53" s="81"/>
    </row>
    <row r="54" spans="2:26" ht="22.5" outlineLevel="1" x14ac:dyDescent="0.2">
      <c r="B54" s="28" t="s">
        <v>72</v>
      </c>
      <c r="C54" s="20">
        <f>6492861100.55999</f>
        <v>6492861100.5599899</v>
      </c>
      <c r="D54" s="20">
        <f>3021746343.31</f>
        <v>3021746343.3099999</v>
      </c>
      <c r="E54" s="20">
        <f>5592967779.42</f>
        <v>5592967779.4200001</v>
      </c>
      <c r="F54" s="20">
        <f>77406934.59</f>
        <v>77406934.590000004</v>
      </c>
      <c r="G54" s="20">
        <f>3458.4</f>
        <v>3458.4</v>
      </c>
      <c r="H54" s="20">
        <f>0</f>
        <v>0</v>
      </c>
      <c r="I54" s="75">
        <f>0</f>
        <v>0</v>
      </c>
      <c r="J54" s="47">
        <f t="shared" si="2"/>
        <v>22.295399575257843</v>
      </c>
      <c r="K54" s="47">
        <f t="shared" si="3"/>
        <v>46.539519273704826</v>
      </c>
      <c r="L54" s="34"/>
      <c r="O54" s="87"/>
    </row>
    <row r="55" spans="2:26" ht="12.75" customHeight="1" outlineLevel="1" x14ac:dyDescent="0.2">
      <c r="B55" s="60" t="s">
        <v>28</v>
      </c>
      <c r="C55" s="62">
        <f>10820516731.59</f>
        <v>10820516731.59</v>
      </c>
      <c r="D55" s="62">
        <f>5012079510.42</f>
        <v>5012079510.4200001</v>
      </c>
      <c r="E55" s="62">
        <f>9117742277.24</f>
        <v>9117742277.2399998</v>
      </c>
      <c r="F55" s="62">
        <f>4615297.23</f>
        <v>4615297.2300000004</v>
      </c>
      <c r="G55" s="62">
        <f>0</f>
        <v>0</v>
      </c>
      <c r="H55" s="62">
        <f>0</f>
        <v>0</v>
      </c>
      <c r="I55" s="76">
        <f>0</f>
        <v>0</v>
      </c>
      <c r="J55" s="47">
        <f t="shared" si="2"/>
        <v>36.980706747665145</v>
      </c>
      <c r="K55" s="47">
        <f t="shared" si="3"/>
        <v>46.320149349129181</v>
      </c>
      <c r="L55" s="34"/>
      <c r="O55" s="81"/>
    </row>
    <row r="56" spans="2:26" ht="12.75" customHeight="1" outlineLevel="1" x14ac:dyDescent="0.2">
      <c r="B56" s="60" t="s">
        <v>27</v>
      </c>
      <c r="C56" s="21">
        <f>385418917.2</f>
        <v>385418917.19999999</v>
      </c>
      <c r="D56" s="21">
        <f>127712132.5</f>
        <v>127712132.5</v>
      </c>
      <c r="E56" s="21">
        <f>273954890.49</f>
        <v>273954890.49000001</v>
      </c>
      <c r="F56" s="21">
        <f>4310334.77</f>
        <v>4310334.7699999996</v>
      </c>
      <c r="G56" s="21">
        <f>0</f>
        <v>0</v>
      </c>
      <c r="H56" s="21">
        <f>0</f>
        <v>0</v>
      </c>
      <c r="I56" s="77">
        <f>0</f>
        <v>0</v>
      </c>
      <c r="J56" s="47">
        <f t="shared" si="2"/>
        <v>0.94230047833093722</v>
      </c>
      <c r="K56" s="47">
        <f t="shared" si="3"/>
        <v>33.135927376841273</v>
      </c>
      <c r="L56" s="34"/>
      <c r="O56" s="87"/>
    </row>
    <row r="57" spans="2:26" ht="22.5" customHeight="1" outlineLevel="1" x14ac:dyDescent="0.2">
      <c r="B57" s="60" t="s">
        <v>44</v>
      </c>
      <c r="C57" s="62">
        <f>123391250.48</f>
        <v>123391250.48</v>
      </c>
      <c r="D57" s="62">
        <f>8861139.66</f>
        <v>8861139.6600000001</v>
      </c>
      <c r="E57" s="62">
        <f>24451924.64</f>
        <v>24451924.640000001</v>
      </c>
      <c r="F57" s="62">
        <f>0</f>
        <v>0</v>
      </c>
      <c r="G57" s="62">
        <f>0</f>
        <v>0</v>
      </c>
      <c r="H57" s="62">
        <f>0</f>
        <v>0</v>
      </c>
      <c r="I57" s="76">
        <f>0</f>
        <v>0</v>
      </c>
      <c r="J57" s="47">
        <f t="shared" si="2"/>
        <v>6.5380289066704275E-2</v>
      </c>
      <c r="K57" s="47">
        <f t="shared" si="3"/>
        <v>7.1813354881562423</v>
      </c>
      <c r="L57" s="34"/>
      <c r="O57" s="81"/>
    </row>
    <row r="58" spans="2:26" ht="22.5" outlineLevel="1" x14ac:dyDescent="0.2">
      <c r="B58" s="60" t="s">
        <v>45</v>
      </c>
      <c r="C58" s="62">
        <f>276466957.8</f>
        <v>276466957.80000001</v>
      </c>
      <c r="D58" s="62">
        <f>103934447.04</f>
        <v>103934447.04000001</v>
      </c>
      <c r="E58" s="62">
        <f>155822187.98</f>
        <v>155822187.97999999</v>
      </c>
      <c r="F58" s="62">
        <f>956035.92</f>
        <v>956035.92</v>
      </c>
      <c r="G58" s="62">
        <f>0</f>
        <v>0</v>
      </c>
      <c r="H58" s="62">
        <f>0</f>
        <v>0</v>
      </c>
      <c r="I58" s="69">
        <f>0</f>
        <v>0</v>
      </c>
      <c r="J58" s="47">
        <f t="shared" si="2"/>
        <v>0.76686119982260459</v>
      </c>
      <c r="K58" s="47">
        <f t="shared" si="3"/>
        <v>37.593804289331246</v>
      </c>
      <c r="L58" s="34"/>
      <c r="O58" s="81"/>
    </row>
    <row r="59" spans="2:26" ht="12.75" customHeight="1" outlineLevel="1" x14ac:dyDescent="0.2">
      <c r="B59" s="60" t="s">
        <v>26</v>
      </c>
      <c r="C59" s="21">
        <f t="shared" ref="C59:I59" si="5">C53-C54-C55-C56-C57-C58</f>
        <v>8042826081.1800117</v>
      </c>
      <c r="D59" s="21">
        <f>D53-D54-D55-D56-D57-D58</f>
        <v>2027645069.180001</v>
      </c>
      <c r="E59" s="78">
        <f>E53-E54-E55-E56-E57-E58</f>
        <v>4590448821.1800013</v>
      </c>
      <c r="F59" s="78">
        <f t="shared" si="5"/>
        <v>224880744.83000004</v>
      </c>
      <c r="G59" s="78">
        <f t="shared" si="5"/>
        <v>10821.019999999999</v>
      </c>
      <c r="H59" s="78">
        <f t="shared" si="5"/>
        <v>13403.080000000002</v>
      </c>
      <c r="I59" s="79">
        <f t="shared" si="5"/>
        <v>0</v>
      </c>
      <c r="J59" s="80">
        <f t="shared" si="2"/>
        <v>14.960606178693956</v>
      </c>
      <c r="K59" s="47">
        <f t="shared" si="3"/>
        <v>25.210604440703172</v>
      </c>
      <c r="L59" s="34"/>
      <c r="O59" s="87"/>
    </row>
    <row r="60" spans="2:26" x14ac:dyDescent="0.2">
      <c r="B60" s="17" t="s">
        <v>15</v>
      </c>
      <c r="C60" s="114">
        <f>C5-C50</f>
        <v>-6584945718.7700043</v>
      </c>
      <c r="D60" s="114">
        <f>D5-D50</f>
        <v>5344607989.0000019</v>
      </c>
      <c r="E60" s="84"/>
      <c r="F60" s="85"/>
      <c r="G60" s="85"/>
      <c r="H60" s="85"/>
      <c r="I60" s="146"/>
      <c r="J60" s="146"/>
      <c r="K60" s="25"/>
      <c r="L60" s="25"/>
      <c r="M60" s="51"/>
    </row>
    <row r="61" spans="2:26" ht="25.5" x14ac:dyDescent="0.2">
      <c r="B61" s="125" t="s">
        <v>111</v>
      </c>
      <c r="C61" s="114">
        <f>+C41-C53</f>
        <v>5976420654.1799965</v>
      </c>
      <c r="D61" s="114">
        <f>+D41-D53</f>
        <v>6845511972.5200005</v>
      </c>
      <c r="E61" s="83"/>
      <c r="F61" s="82"/>
      <c r="G61" s="82"/>
      <c r="H61" s="82"/>
      <c r="I61" s="134"/>
      <c r="J61" s="135"/>
      <c r="K61" s="34"/>
      <c r="L61" s="52"/>
      <c r="M61" s="52"/>
    </row>
    <row r="62" spans="2:26" ht="13.5" customHeight="1" outlineLevel="1" x14ac:dyDescent="0.2">
      <c r="B62" s="53"/>
      <c r="C62" s="54"/>
      <c r="D62" s="54"/>
      <c r="E62" s="54"/>
      <c r="F62" s="18"/>
      <c r="G62" s="18"/>
      <c r="H62" s="18"/>
      <c r="I62" s="18"/>
      <c r="J62" s="34"/>
      <c r="K62" s="34"/>
      <c r="L62" s="52"/>
      <c r="M62" s="52"/>
    </row>
    <row r="63" spans="2:26" ht="13.5" customHeight="1" outlineLevel="1" x14ac:dyDescent="0.2">
      <c r="B63" s="53"/>
      <c r="C63" s="54"/>
      <c r="D63" s="54"/>
      <c r="E63" s="54"/>
      <c r="F63" s="18"/>
      <c r="G63" s="18"/>
      <c r="H63" s="18"/>
      <c r="I63" s="18"/>
      <c r="J63" s="34"/>
      <c r="K63" s="34"/>
      <c r="L63" s="52"/>
      <c r="M63" s="52"/>
    </row>
    <row r="64" spans="2:26" outlineLevel="1" x14ac:dyDescent="0.2">
      <c r="B64" s="126" t="s">
        <v>106</v>
      </c>
      <c r="C64" s="127" t="s">
        <v>102</v>
      </c>
      <c r="D64" s="127"/>
      <c r="E64" s="127" t="s">
        <v>103</v>
      </c>
      <c r="F64" s="127"/>
      <c r="G64" s="120" t="s">
        <v>107</v>
      </c>
      <c r="H64" s="18"/>
      <c r="I64" s="18"/>
      <c r="J64" s="34"/>
      <c r="K64" s="34"/>
      <c r="L64" s="52"/>
      <c r="M64" s="52"/>
    </row>
    <row r="65" spans="2:13" outlineLevel="1" x14ac:dyDescent="0.2">
      <c r="B65" s="126"/>
      <c r="C65" s="121" t="s">
        <v>104</v>
      </c>
      <c r="D65" s="121" t="s">
        <v>105</v>
      </c>
      <c r="E65" s="121" t="s">
        <v>104</v>
      </c>
      <c r="F65" s="121" t="s">
        <v>105</v>
      </c>
      <c r="G65" s="121" t="s">
        <v>104</v>
      </c>
      <c r="H65" s="18"/>
      <c r="I65" s="18"/>
      <c r="J65" s="34"/>
      <c r="K65" s="34"/>
      <c r="L65" s="52"/>
      <c r="M65" s="52"/>
    </row>
    <row r="66" spans="2:13" outlineLevel="1" x14ac:dyDescent="0.2">
      <c r="B66" s="122" t="s">
        <v>108</v>
      </c>
      <c r="C66" s="123">
        <f>0</f>
        <v>0</v>
      </c>
      <c r="D66" s="124">
        <f>0</f>
        <v>0</v>
      </c>
      <c r="E66" s="123">
        <f>16</f>
        <v>16</v>
      </c>
      <c r="F66" s="124">
        <f>+-6584945718.77</f>
        <v>-6584945718.7700005</v>
      </c>
      <c r="G66" s="123">
        <f>0</f>
        <v>0</v>
      </c>
      <c r="H66" s="18"/>
      <c r="I66" s="18"/>
      <c r="J66" s="34"/>
      <c r="K66" s="34"/>
      <c r="L66" s="52"/>
      <c r="M66" s="52"/>
    </row>
    <row r="67" spans="2:13" outlineLevel="1" x14ac:dyDescent="0.2">
      <c r="B67" s="122" t="s">
        <v>109</v>
      </c>
      <c r="C67" s="123">
        <f>16</f>
        <v>16</v>
      </c>
      <c r="D67" s="124">
        <f>5344607989</f>
        <v>5344607989</v>
      </c>
      <c r="E67" s="123">
        <f>0</f>
        <v>0</v>
      </c>
      <c r="F67" s="124">
        <f>0</f>
        <v>0</v>
      </c>
      <c r="G67" s="123">
        <f>0</f>
        <v>0</v>
      </c>
      <c r="H67" s="18"/>
      <c r="I67" s="18"/>
      <c r="J67" s="34"/>
      <c r="K67" s="34"/>
      <c r="L67" s="52"/>
      <c r="M67" s="52"/>
    </row>
    <row r="68" spans="2:13" outlineLevel="1" x14ac:dyDescent="0.2">
      <c r="B68" s="34"/>
      <c r="C68" s="34"/>
      <c r="D68" s="34"/>
      <c r="E68" s="34"/>
      <c r="F68" s="34"/>
      <c r="G68" s="34"/>
      <c r="H68" s="18"/>
      <c r="I68" s="18"/>
      <c r="J68" s="34"/>
      <c r="K68" s="34"/>
      <c r="L68" s="52"/>
      <c r="M68" s="52"/>
    </row>
    <row r="69" spans="2:13" outlineLevel="1" x14ac:dyDescent="0.2">
      <c r="B69" s="126" t="s">
        <v>110</v>
      </c>
      <c r="C69" s="127" t="s">
        <v>102</v>
      </c>
      <c r="D69" s="127"/>
      <c r="E69" s="127" t="s">
        <v>103</v>
      </c>
      <c r="F69" s="127"/>
      <c r="G69" s="120" t="s">
        <v>107</v>
      </c>
      <c r="H69" s="18"/>
      <c r="I69" s="18"/>
      <c r="J69" s="34"/>
      <c r="K69" s="34"/>
      <c r="L69" s="52"/>
      <c r="M69" s="52"/>
    </row>
    <row r="70" spans="2:13" outlineLevel="1" x14ac:dyDescent="0.2">
      <c r="B70" s="126"/>
      <c r="C70" s="121" t="s">
        <v>104</v>
      </c>
      <c r="D70" s="121" t="s">
        <v>105</v>
      </c>
      <c r="E70" s="121" t="s">
        <v>104</v>
      </c>
      <c r="F70" s="121" t="s">
        <v>105</v>
      </c>
      <c r="G70" s="121" t="s">
        <v>104</v>
      </c>
      <c r="H70" s="18"/>
      <c r="I70" s="18"/>
      <c r="J70" s="34"/>
      <c r="K70" s="34"/>
      <c r="L70" s="52"/>
      <c r="M70" s="52"/>
    </row>
    <row r="71" spans="2:13" outlineLevel="1" x14ac:dyDescent="0.2">
      <c r="B71" s="122" t="s">
        <v>108</v>
      </c>
      <c r="C71" s="123">
        <f>16</f>
        <v>16</v>
      </c>
      <c r="D71" s="124">
        <f>5976420654.18</f>
        <v>5976420654.1800003</v>
      </c>
      <c r="E71" s="123">
        <f>0</f>
        <v>0</v>
      </c>
      <c r="F71" s="124">
        <f>0</f>
        <v>0</v>
      </c>
      <c r="G71" s="123">
        <f>0</f>
        <v>0</v>
      </c>
      <c r="H71" s="18"/>
      <c r="I71" s="18"/>
      <c r="J71" s="34"/>
      <c r="K71" s="34"/>
      <c r="L71" s="52"/>
      <c r="M71" s="52"/>
    </row>
    <row r="72" spans="2:13" outlineLevel="1" x14ac:dyDescent="0.2">
      <c r="B72" s="122" t="s">
        <v>109</v>
      </c>
      <c r="C72" s="123">
        <f>16</f>
        <v>16</v>
      </c>
      <c r="D72" s="124">
        <f>6845511972.52</f>
        <v>6845511972.5200005</v>
      </c>
      <c r="E72" s="123">
        <f>0</f>
        <v>0</v>
      </c>
      <c r="F72" s="124">
        <f>0</f>
        <v>0</v>
      </c>
      <c r="G72" s="123">
        <f>0</f>
        <v>0</v>
      </c>
      <c r="H72" s="18"/>
      <c r="I72" s="18"/>
      <c r="J72" s="34"/>
      <c r="K72" s="34"/>
      <c r="L72" s="52"/>
      <c r="M72" s="52"/>
    </row>
    <row r="73" spans="2:13" ht="13.5" customHeight="1" outlineLevel="1" x14ac:dyDescent="0.2">
      <c r="B73" s="53"/>
      <c r="C73" s="54"/>
      <c r="D73" s="54"/>
      <c r="E73" s="54"/>
      <c r="F73" s="18"/>
      <c r="G73" s="18"/>
      <c r="H73" s="18"/>
      <c r="I73" s="18"/>
      <c r="J73" s="34"/>
      <c r="K73" s="34"/>
      <c r="L73" s="52"/>
      <c r="M73" s="52"/>
    </row>
    <row r="74" spans="2:13" ht="13.5" customHeight="1" x14ac:dyDescent="0.2">
      <c r="B74" s="53"/>
      <c r="C74" s="54"/>
      <c r="D74" s="54"/>
      <c r="E74" s="54"/>
      <c r="F74" s="18"/>
      <c r="G74" s="18"/>
      <c r="H74" s="18"/>
      <c r="I74" s="18"/>
      <c r="J74" s="34"/>
      <c r="K74" s="34"/>
      <c r="L74" s="52"/>
      <c r="M74" s="52"/>
    </row>
    <row r="75" spans="2:13" ht="12" customHeight="1" x14ac:dyDescent="0.2">
      <c r="B75" s="115" t="s">
        <v>89</v>
      </c>
      <c r="C75" s="54"/>
      <c r="D75" s="54"/>
      <c r="E75" s="54"/>
      <c r="F75" s="18"/>
      <c r="G75" s="18"/>
      <c r="H75" s="18"/>
      <c r="I75" s="18"/>
      <c r="J75" s="34"/>
      <c r="K75" s="34"/>
      <c r="L75" s="52"/>
      <c r="M75" s="52"/>
    </row>
    <row r="76" spans="2:13" ht="27" customHeight="1" x14ac:dyDescent="0.2">
      <c r="B76" s="116" t="s">
        <v>62</v>
      </c>
      <c r="C76" s="114">
        <f>10803995720.83</f>
        <v>10803995720.83</v>
      </c>
      <c r="D76" s="114">
        <f>2267930445.33</f>
        <v>2267930445.3299999</v>
      </c>
      <c r="E76" s="23">
        <f>7255589078.12</f>
        <v>7255589078.1199999</v>
      </c>
      <c r="F76" s="23">
        <f>150221513.27</f>
        <v>150221513.27000001</v>
      </c>
      <c r="G76" s="23">
        <f>0</f>
        <v>0</v>
      </c>
      <c r="H76" s="23">
        <f>0</f>
        <v>0</v>
      </c>
      <c r="I76" s="86">
        <f>0</f>
        <v>0</v>
      </c>
      <c r="J76" s="32">
        <f>IF($D$76=0,"",100*$D76/$D$76)</f>
        <v>100</v>
      </c>
      <c r="K76" s="32">
        <f>IF(C76=0,"",100*D76/C76)</f>
        <v>20.991589629727933</v>
      </c>
      <c r="L76" s="52"/>
    </row>
    <row r="77" spans="2:13" ht="12.75" customHeight="1" x14ac:dyDescent="0.2">
      <c r="B77" s="100" t="s">
        <v>51</v>
      </c>
      <c r="C77" s="62">
        <f>6120221864.14</f>
        <v>6120221864.1400003</v>
      </c>
      <c r="D77" s="62">
        <f>779120928.03</f>
        <v>779120928.02999997</v>
      </c>
      <c r="E77" s="62">
        <f>4315412516.46</f>
        <v>4315412516.46</v>
      </c>
      <c r="F77" s="62">
        <f>125027157.21</f>
        <v>125027157.20999999</v>
      </c>
      <c r="G77" s="62">
        <f>0</f>
        <v>0</v>
      </c>
      <c r="H77" s="62">
        <f>0</f>
        <v>0</v>
      </c>
      <c r="I77" s="69">
        <f>0</f>
        <v>0</v>
      </c>
      <c r="J77" s="32">
        <f>IF($D$76=0,"",100*$D77/$D$76)</f>
        <v>34.353828162337329</v>
      </c>
      <c r="K77" s="32">
        <f>IF(C77=0,"",100*D77/C77)</f>
        <v>12.730272616342157</v>
      </c>
      <c r="L77" s="34"/>
    </row>
    <row r="78" spans="2:13" ht="12.75" customHeight="1" x14ac:dyDescent="0.2">
      <c r="B78" s="100" t="s">
        <v>52</v>
      </c>
      <c r="C78" s="62">
        <f t="shared" ref="C78:I78" si="6">C76-C77</f>
        <v>4683773856.6899996</v>
      </c>
      <c r="D78" s="62">
        <f t="shared" si="6"/>
        <v>1488809517.3</v>
      </c>
      <c r="E78" s="62">
        <f t="shared" si="6"/>
        <v>2940176561.6599998</v>
      </c>
      <c r="F78" s="62">
        <f t="shared" si="6"/>
        <v>25194356.060000017</v>
      </c>
      <c r="G78" s="62">
        <f t="shared" si="6"/>
        <v>0</v>
      </c>
      <c r="H78" s="62">
        <f t="shared" si="6"/>
        <v>0</v>
      </c>
      <c r="I78" s="71">
        <f t="shared" si="6"/>
        <v>0</v>
      </c>
      <c r="J78" s="32">
        <f>IF($D$76=0,"",100*$D78/$D$76)</f>
        <v>65.646171837662664</v>
      </c>
      <c r="K78" s="32">
        <f>IF(C78=0,"",100*D78/C78)</f>
        <v>31.786537156858689</v>
      </c>
      <c r="L78" s="34"/>
    </row>
    <row r="79" spans="2:13" ht="18" customHeight="1" x14ac:dyDescent="0.2">
      <c r="B79" s="99" t="str">
        <f>CONCATENATE("Informacja z wykonania budżetów województw za ",$D$115," ",$C$116," rok    ",$C$118,"")</f>
        <v xml:space="preserve">Informacja z wykonania budżetów województw za II Kwartały 2025 rok    </v>
      </c>
      <c r="C79" s="99"/>
      <c r="D79" s="99"/>
      <c r="E79" s="99"/>
      <c r="F79" s="99"/>
      <c r="G79" s="99"/>
      <c r="H79" s="99"/>
      <c r="I79" s="99"/>
      <c r="J79" s="99"/>
      <c r="K79" s="99"/>
      <c r="L79" s="99"/>
      <c r="M79" s="99"/>
    </row>
    <row r="80" spans="2:13" ht="6" customHeight="1" x14ac:dyDescent="0.2"/>
    <row r="81" spans="2:11" x14ac:dyDescent="0.2">
      <c r="B81" s="37" t="s">
        <v>16</v>
      </c>
      <c r="C81" s="70" t="s">
        <v>17</v>
      </c>
      <c r="D81" s="70" t="s">
        <v>1</v>
      </c>
      <c r="E81" s="153" t="s">
        <v>79</v>
      </c>
      <c r="F81" s="154"/>
      <c r="G81" s="154"/>
      <c r="H81" s="154"/>
      <c r="I81" s="155"/>
      <c r="J81" s="16" t="s">
        <v>21</v>
      </c>
      <c r="K81" s="16" t="s">
        <v>22</v>
      </c>
    </row>
    <row r="82" spans="2:11" x14ac:dyDescent="0.2">
      <c r="B82" s="37"/>
      <c r="C82" s="138" t="s">
        <v>53</v>
      </c>
      <c r="D82" s="152"/>
      <c r="E82" s="156"/>
      <c r="F82" s="157"/>
      <c r="G82" s="157"/>
      <c r="H82" s="157"/>
      <c r="I82" s="158"/>
      <c r="J82" s="162" t="s">
        <v>4</v>
      </c>
      <c r="K82" s="163"/>
    </row>
    <row r="83" spans="2:11" x14ac:dyDescent="0.2">
      <c r="B83" s="35">
        <v>1</v>
      </c>
      <c r="C83" s="89">
        <v>2</v>
      </c>
      <c r="D83" s="89">
        <v>3</v>
      </c>
      <c r="E83" s="159"/>
      <c r="F83" s="160"/>
      <c r="G83" s="160"/>
      <c r="H83" s="160"/>
      <c r="I83" s="161"/>
      <c r="J83" s="36">
        <v>4</v>
      </c>
      <c r="K83" s="36">
        <v>5</v>
      </c>
    </row>
    <row r="84" spans="2:11" ht="27" customHeight="1" x14ac:dyDescent="0.2">
      <c r="B84" s="90" t="s">
        <v>39</v>
      </c>
      <c r="C84" s="39">
        <f>8104068893.87</f>
        <v>8104068893.8699999</v>
      </c>
      <c r="D84" s="39">
        <f>6665349731.59</f>
        <v>6665349731.5900002</v>
      </c>
      <c r="E84" s="107" t="s">
        <v>79</v>
      </c>
      <c r="F84" s="107" t="s">
        <v>79</v>
      </c>
      <c r="G84" s="107" t="s">
        <v>79</v>
      </c>
      <c r="H84" s="107" t="s">
        <v>79</v>
      </c>
      <c r="I84" s="107" t="s">
        <v>79</v>
      </c>
      <c r="J84" s="38">
        <f>IF($D$84=0,"",100*$D84/$D$84)</f>
        <v>100</v>
      </c>
      <c r="K84" s="31">
        <f t="shared" ref="K84:K98" si="7">IF(C84=0,"",100*D84/C84)</f>
        <v>82.246952967437608</v>
      </c>
    </row>
    <row r="85" spans="2:11" ht="33.75" x14ac:dyDescent="0.2">
      <c r="B85" s="104" t="s">
        <v>94</v>
      </c>
      <c r="C85" s="40">
        <f>3158196497.91</f>
        <v>3158196497.9099998</v>
      </c>
      <c r="D85" s="40">
        <f>0</f>
        <v>0</v>
      </c>
      <c r="E85" s="108" t="s">
        <v>79</v>
      </c>
      <c r="F85" s="108" t="s">
        <v>79</v>
      </c>
      <c r="G85" s="108" t="s">
        <v>79</v>
      </c>
      <c r="H85" s="108" t="s">
        <v>79</v>
      </c>
      <c r="I85" s="108" t="s">
        <v>79</v>
      </c>
      <c r="J85" s="45">
        <f t="shared" ref="J85:J94" si="8">IF($D$84=0,"",100*$D85/$D$84)</f>
        <v>0</v>
      </c>
      <c r="K85" s="46">
        <f t="shared" si="7"/>
        <v>0</v>
      </c>
    </row>
    <row r="86" spans="2:11" ht="22.5" x14ac:dyDescent="0.2">
      <c r="B86" s="105" t="s">
        <v>63</v>
      </c>
      <c r="C86" s="64">
        <f>886139487.91</f>
        <v>886139487.90999997</v>
      </c>
      <c r="D86" s="64">
        <f>0</f>
        <v>0</v>
      </c>
      <c r="E86" s="108" t="s">
        <v>79</v>
      </c>
      <c r="F86" s="108" t="s">
        <v>79</v>
      </c>
      <c r="G86" s="108" t="s">
        <v>79</v>
      </c>
      <c r="H86" s="108" t="s">
        <v>79</v>
      </c>
      <c r="I86" s="108" t="s">
        <v>79</v>
      </c>
      <c r="J86" s="65">
        <f t="shared" si="8"/>
        <v>0</v>
      </c>
      <c r="K86" s="66">
        <f t="shared" si="7"/>
        <v>0</v>
      </c>
    </row>
    <row r="87" spans="2:11" ht="12.75" customHeight="1" x14ac:dyDescent="0.2">
      <c r="B87" s="63" t="s">
        <v>64</v>
      </c>
      <c r="C87" s="64">
        <f>116424313</f>
        <v>116424313</v>
      </c>
      <c r="D87" s="64">
        <f>36634598.35</f>
        <v>36634598.350000001</v>
      </c>
      <c r="E87" s="108" t="s">
        <v>79</v>
      </c>
      <c r="F87" s="108" t="s">
        <v>79</v>
      </c>
      <c r="G87" s="108" t="s">
        <v>79</v>
      </c>
      <c r="H87" s="108" t="s">
        <v>79</v>
      </c>
      <c r="I87" s="108" t="s">
        <v>79</v>
      </c>
      <c r="J87" s="65">
        <f t="shared" si="8"/>
        <v>0.54962754881972142</v>
      </c>
      <c r="K87" s="66">
        <f t="shared" si="7"/>
        <v>31.466450096209716</v>
      </c>
    </row>
    <row r="88" spans="2:11" ht="46.5" customHeight="1" x14ac:dyDescent="0.2">
      <c r="B88" s="63" t="s">
        <v>73</v>
      </c>
      <c r="C88" s="64">
        <f>2163219554.94</f>
        <v>2163219554.9400001</v>
      </c>
      <c r="D88" s="64">
        <f>3209818489.52</f>
        <v>3209818489.52</v>
      </c>
      <c r="E88" s="108" t="s">
        <v>79</v>
      </c>
      <c r="F88" s="108" t="s">
        <v>79</v>
      </c>
      <c r="G88" s="108" t="s">
        <v>79</v>
      </c>
      <c r="H88" s="108" t="s">
        <v>79</v>
      </c>
      <c r="I88" s="108" t="s">
        <v>79</v>
      </c>
      <c r="J88" s="65">
        <f t="shared" si="8"/>
        <v>48.156790247738535</v>
      </c>
      <c r="K88" s="66">
        <f t="shared" si="7"/>
        <v>148.38154001474106</v>
      </c>
    </row>
    <row r="89" spans="2:11" ht="35.25" customHeight="1" x14ac:dyDescent="0.2">
      <c r="B89" s="63" t="s">
        <v>74</v>
      </c>
      <c r="C89" s="64">
        <f>532958742.11</f>
        <v>532958742.11000001</v>
      </c>
      <c r="D89" s="64">
        <f>684830763.38</f>
        <v>684830763.38</v>
      </c>
      <c r="E89" s="108" t="s">
        <v>79</v>
      </c>
      <c r="F89" s="108" t="s">
        <v>79</v>
      </c>
      <c r="G89" s="108" t="s">
        <v>79</v>
      </c>
      <c r="H89" s="108" t="s">
        <v>79</v>
      </c>
      <c r="I89" s="108" t="s">
        <v>79</v>
      </c>
      <c r="J89" s="65">
        <f t="shared" si="8"/>
        <v>10.274491076354002</v>
      </c>
      <c r="K89" s="66">
        <f t="shared" si="7"/>
        <v>128.49601841011821</v>
      </c>
    </row>
    <row r="90" spans="2:11" ht="12.75" customHeight="1" x14ac:dyDescent="0.2">
      <c r="B90" s="63" t="s">
        <v>65</v>
      </c>
      <c r="C90" s="64">
        <f>0</f>
        <v>0</v>
      </c>
      <c r="D90" s="64">
        <f>0</f>
        <v>0</v>
      </c>
      <c r="E90" s="108" t="s">
        <v>79</v>
      </c>
      <c r="F90" s="108" t="s">
        <v>79</v>
      </c>
      <c r="G90" s="108" t="s">
        <v>79</v>
      </c>
      <c r="H90" s="108" t="s">
        <v>79</v>
      </c>
      <c r="I90" s="108" t="s">
        <v>79</v>
      </c>
      <c r="J90" s="65">
        <f t="shared" si="8"/>
        <v>0</v>
      </c>
      <c r="K90" s="66" t="str">
        <f t="shared" si="7"/>
        <v/>
      </c>
    </row>
    <row r="91" spans="2:11" ht="33.75" x14ac:dyDescent="0.2">
      <c r="B91" s="63" t="s">
        <v>68</v>
      </c>
      <c r="C91" s="64">
        <f>1810558329.65</f>
        <v>1810558329.6500001</v>
      </c>
      <c r="D91" s="64">
        <f>2411354424.34</f>
        <v>2411354424.3400002</v>
      </c>
      <c r="E91" s="108" t="s">
        <v>79</v>
      </c>
      <c r="F91" s="108" t="s">
        <v>79</v>
      </c>
      <c r="G91" s="108" t="s">
        <v>79</v>
      </c>
      <c r="H91" s="108" t="s">
        <v>79</v>
      </c>
      <c r="I91" s="108" t="s">
        <v>79</v>
      </c>
      <c r="J91" s="65">
        <f t="shared" si="8"/>
        <v>36.177462870575859</v>
      </c>
      <c r="K91" s="66">
        <f t="shared" si="7"/>
        <v>133.18291848714645</v>
      </c>
    </row>
    <row r="92" spans="2:11" ht="56.25" x14ac:dyDescent="0.2">
      <c r="B92" s="63" t="s">
        <v>95</v>
      </c>
      <c r="C92" s="64">
        <f>0</f>
        <v>0</v>
      </c>
      <c r="D92" s="64">
        <f>0</f>
        <v>0</v>
      </c>
      <c r="E92" s="108" t="s">
        <v>79</v>
      </c>
      <c r="F92" s="108" t="s">
        <v>79</v>
      </c>
      <c r="G92" s="108" t="s">
        <v>79</v>
      </c>
      <c r="H92" s="108" t="s">
        <v>79</v>
      </c>
      <c r="I92" s="108" t="s">
        <v>79</v>
      </c>
      <c r="J92" s="65">
        <f t="shared" si="8"/>
        <v>0</v>
      </c>
      <c r="K92" s="66" t="str">
        <f>IF(C92=0,"",100*D92/C92)</f>
        <v/>
      </c>
    </row>
    <row r="93" spans="2:11" x14ac:dyDescent="0.2">
      <c r="B93" s="63" t="s">
        <v>90</v>
      </c>
      <c r="C93" s="64">
        <f>322711456.26</f>
        <v>322711456.25999999</v>
      </c>
      <c r="D93" s="64">
        <f>322711456</f>
        <v>322711456</v>
      </c>
      <c r="E93" s="108" t="s">
        <v>79</v>
      </c>
      <c r="F93" s="108" t="s">
        <v>79</v>
      </c>
      <c r="G93" s="108" t="s">
        <v>79</v>
      </c>
      <c r="H93" s="108" t="s">
        <v>79</v>
      </c>
      <c r="I93" s="108" t="s">
        <v>79</v>
      </c>
      <c r="J93" s="65">
        <f t="shared" si="8"/>
        <v>4.8416282565118767</v>
      </c>
      <c r="K93" s="66">
        <f>IF(C93=0,"",100*D93/C93)</f>
        <v>99.999999919432668</v>
      </c>
    </row>
    <row r="94" spans="2:11" ht="22.5" x14ac:dyDescent="0.2">
      <c r="B94" s="105" t="s">
        <v>91</v>
      </c>
      <c r="C94" s="64">
        <f>322711456.26</f>
        <v>322711456.25999999</v>
      </c>
      <c r="D94" s="64">
        <f>322711456</f>
        <v>322711456</v>
      </c>
      <c r="E94" s="108" t="s">
        <v>79</v>
      </c>
      <c r="F94" s="108" t="s">
        <v>79</v>
      </c>
      <c r="G94" s="108" t="s">
        <v>79</v>
      </c>
      <c r="H94" s="108" t="s">
        <v>79</v>
      </c>
      <c r="I94" s="108" t="s">
        <v>79</v>
      </c>
      <c r="J94" s="65">
        <f t="shared" si="8"/>
        <v>4.8416282565118767</v>
      </c>
      <c r="K94" s="66">
        <f>IF(C94=0,"",100*D94/C94)</f>
        <v>99.999999919432668</v>
      </c>
    </row>
    <row r="95" spans="2:11" ht="27" customHeight="1" x14ac:dyDescent="0.2">
      <c r="B95" s="90" t="s">
        <v>40</v>
      </c>
      <c r="C95" s="43">
        <f>1177966348.1</f>
        <v>1177966348.0999999</v>
      </c>
      <c r="D95" s="43">
        <f>602844410.34</f>
        <v>602844410.34000003</v>
      </c>
      <c r="E95" s="107" t="s">
        <v>79</v>
      </c>
      <c r="F95" s="107" t="s">
        <v>79</v>
      </c>
      <c r="G95" s="107" t="s">
        <v>79</v>
      </c>
      <c r="H95" s="107" t="s">
        <v>79</v>
      </c>
      <c r="I95" s="107" t="s">
        <v>79</v>
      </c>
      <c r="J95" s="38">
        <f t="shared" ref="J95:J100" si="9">IF($D$95=0,"",100*$D95/$D$95)</f>
        <v>100</v>
      </c>
      <c r="K95" s="31">
        <f t="shared" si="7"/>
        <v>51.176709021642047</v>
      </c>
    </row>
    <row r="96" spans="2:11" ht="24.75" customHeight="1" x14ac:dyDescent="0.2">
      <c r="B96" s="104" t="s">
        <v>66</v>
      </c>
      <c r="C96" s="40">
        <f>894933155.48</f>
        <v>894933155.48000002</v>
      </c>
      <c r="D96" s="42">
        <f>396548672.92</f>
        <v>396548672.92000002</v>
      </c>
      <c r="E96" s="108" t="s">
        <v>79</v>
      </c>
      <c r="F96" s="108" t="s">
        <v>79</v>
      </c>
      <c r="G96" s="108" t="s">
        <v>79</v>
      </c>
      <c r="H96" s="108" t="s">
        <v>79</v>
      </c>
      <c r="I96" s="108" t="s">
        <v>79</v>
      </c>
      <c r="J96" s="45">
        <f t="shared" si="9"/>
        <v>65.779605171481862</v>
      </c>
      <c r="K96" s="46">
        <f t="shared" si="7"/>
        <v>44.31042368827088</v>
      </c>
    </row>
    <row r="97" spans="2:11" ht="12.75" customHeight="1" x14ac:dyDescent="0.2">
      <c r="B97" s="105" t="s">
        <v>67</v>
      </c>
      <c r="C97" s="64">
        <f>133950000</f>
        <v>133950000</v>
      </c>
      <c r="D97" s="64">
        <f>0</f>
        <v>0</v>
      </c>
      <c r="E97" s="108" t="s">
        <v>79</v>
      </c>
      <c r="F97" s="108" t="s">
        <v>79</v>
      </c>
      <c r="G97" s="108" t="s">
        <v>79</v>
      </c>
      <c r="H97" s="108" t="s">
        <v>79</v>
      </c>
      <c r="I97" s="108" t="s">
        <v>79</v>
      </c>
      <c r="J97" s="65">
        <f t="shared" si="9"/>
        <v>0</v>
      </c>
      <c r="K97" s="66">
        <f t="shared" si="7"/>
        <v>0</v>
      </c>
    </row>
    <row r="98" spans="2:11" ht="12.75" customHeight="1" x14ac:dyDescent="0.2">
      <c r="B98" s="63" t="s">
        <v>75</v>
      </c>
      <c r="C98" s="64">
        <f>283033192.62</f>
        <v>283033192.62</v>
      </c>
      <c r="D98" s="64">
        <f>206295737.42</f>
        <v>206295737.41999999</v>
      </c>
      <c r="E98" s="108" t="s">
        <v>79</v>
      </c>
      <c r="F98" s="108" t="s">
        <v>79</v>
      </c>
      <c r="G98" s="108" t="s">
        <v>79</v>
      </c>
      <c r="H98" s="108" t="s">
        <v>79</v>
      </c>
      <c r="I98" s="108" t="s">
        <v>79</v>
      </c>
      <c r="J98" s="65">
        <f t="shared" si="9"/>
        <v>34.220394828518131</v>
      </c>
      <c r="K98" s="66">
        <f t="shared" si="7"/>
        <v>72.887471434126951</v>
      </c>
    </row>
    <row r="99" spans="2:11" ht="12.75" customHeight="1" x14ac:dyDescent="0.2">
      <c r="B99" s="63" t="s">
        <v>92</v>
      </c>
      <c r="C99" s="64">
        <f>0</f>
        <v>0</v>
      </c>
      <c r="D99" s="64">
        <f>0</f>
        <v>0</v>
      </c>
      <c r="E99" s="108" t="s">
        <v>79</v>
      </c>
      <c r="F99" s="108" t="s">
        <v>79</v>
      </c>
      <c r="G99" s="108" t="s">
        <v>79</v>
      </c>
      <c r="H99" s="108" t="s">
        <v>79</v>
      </c>
      <c r="I99" s="108" t="s">
        <v>79</v>
      </c>
      <c r="J99" s="65">
        <f t="shared" si="9"/>
        <v>0</v>
      </c>
      <c r="K99" s="66" t="str">
        <f>IF(C99=0,"",100*D99/C99)</f>
        <v/>
      </c>
    </row>
    <row r="100" spans="2:11" ht="22.5" x14ac:dyDescent="0.2">
      <c r="B100" s="105" t="s">
        <v>93</v>
      </c>
      <c r="C100" s="64">
        <f>0</f>
        <v>0</v>
      </c>
      <c r="D100" s="64">
        <f>0</f>
        <v>0</v>
      </c>
      <c r="E100" s="108" t="s">
        <v>79</v>
      </c>
      <c r="F100" s="108" t="s">
        <v>79</v>
      </c>
      <c r="G100" s="108" t="s">
        <v>79</v>
      </c>
      <c r="H100" s="108" t="s">
        <v>79</v>
      </c>
      <c r="I100" s="108" t="s">
        <v>79</v>
      </c>
      <c r="J100" s="65">
        <f t="shared" si="9"/>
        <v>0</v>
      </c>
      <c r="K100" s="66" t="str">
        <f>IF(C100=0,"",100*D100/C100)</f>
        <v/>
      </c>
    </row>
    <row r="102" spans="2:11" x14ac:dyDescent="0.2">
      <c r="B102" s="37" t="s">
        <v>16</v>
      </c>
      <c r="C102" s="70" t="s">
        <v>17</v>
      </c>
      <c r="D102" s="16" t="s">
        <v>1</v>
      </c>
    </row>
    <row r="103" spans="2:11" x14ac:dyDescent="0.2">
      <c r="B103" s="37"/>
      <c r="C103" s="138" t="s">
        <v>53</v>
      </c>
      <c r="D103" s="152"/>
    </row>
    <row r="104" spans="2:11" x14ac:dyDescent="0.2">
      <c r="B104" s="35">
        <v>1</v>
      </c>
      <c r="C104" s="89">
        <v>2</v>
      </c>
      <c r="D104" s="36">
        <v>3</v>
      </c>
    </row>
    <row r="105" spans="2:11" ht="36" customHeight="1" x14ac:dyDescent="0.2">
      <c r="B105" s="44" t="s">
        <v>96</v>
      </c>
      <c r="C105" s="41">
        <f>6584945718.77</f>
        <v>6584945718.7700005</v>
      </c>
      <c r="D105" s="24">
        <f>0</f>
        <v>0</v>
      </c>
    </row>
    <row r="106" spans="2:11" ht="33.75" x14ac:dyDescent="0.2">
      <c r="B106" s="106" t="s">
        <v>55</v>
      </c>
      <c r="C106" s="64">
        <f>626045035.91</f>
        <v>626045035.90999997</v>
      </c>
      <c r="D106" s="57">
        <f>0</f>
        <v>0</v>
      </c>
    </row>
    <row r="107" spans="2:11" ht="12.75" customHeight="1" x14ac:dyDescent="0.2">
      <c r="B107" s="106" t="s">
        <v>56</v>
      </c>
      <c r="C107" s="64">
        <f>2223209941</f>
        <v>2223209941</v>
      </c>
      <c r="D107" s="57">
        <f>0</f>
        <v>0</v>
      </c>
    </row>
    <row r="108" spans="2:11" ht="22.5" x14ac:dyDescent="0.2">
      <c r="B108" s="106" t="s">
        <v>57</v>
      </c>
      <c r="C108" s="64">
        <f>0</f>
        <v>0</v>
      </c>
      <c r="D108" s="57">
        <f>0</f>
        <v>0</v>
      </c>
    </row>
    <row r="109" spans="2:11" ht="56.25" x14ac:dyDescent="0.2">
      <c r="B109" s="106" t="s">
        <v>76</v>
      </c>
      <c r="C109" s="64">
        <f>1602951312.94</f>
        <v>1602951312.9400001</v>
      </c>
      <c r="D109" s="57">
        <f>0</f>
        <v>0</v>
      </c>
    </row>
    <row r="110" spans="2:11" ht="81" customHeight="1" x14ac:dyDescent="0.2">
      <c r="B110" s="106" t="s">
        <v>58</v>
      </c>
      <c r="C110" s="64">
        <f>1326978556.48</f>
        <v>1326978556.48</v>
      </c>
      <c r="D110" s="57">
        <f>0</f>
        <v>0</v>
      </c>
    </row>
    <row r="111" spans="2:11" ht="151.5" customHeight="1" x14ac:dyDescent="0.2">
      <c r="B111" s="106" t="s">
        <v>77</v>
      </c>
      <c r="C111" s="64">
        <f>489677015.18</f>
        <v>489677015.18000001</v>
      </c>
      <c r="D111" s="57">
        <f>0</f>
        <v>0</v>
      </c>
    </row>
    <row r="112" spans="2:11" ht="23.25" customHeight="1" x14ac:dyDescent="0.2">
      <c r="B112" s="106" t="s">
        <v>78</v>
      </c>
      <c r="C112" s="64">
        <f>20270090</f>
        <v>20270090</v>
      </c>
      <c r="D112" s="57">
        <f>0</f>
        <v>0</v>
      </c>
    </row>
    <row r="113" spans="2:4" ht="23.25" customHeight="1" x14ac:dyDescent="0.2">
      <c r="B113" s="119" t="s">
        <v>91</v>
      </c>
      <c r="C113" s="64">
        <f>295813767.26</f>
        <v>295813767.25999999</v>
      </c>
      <c r="D113" s="57">
        <f>0</f>
        <v>0</v>
      </c>
    </row>
    <row r="115" spans="2:4" x14ac:dyDescent="0.2">
      <c r="B115" s="33" t="s">
        <v>41</v>
      </c>
      <c r="C115" s="33">
        <f>2</f>
        <v>2</v>
      </c>
      <c r="D115" s="33" t="str">
        <f>IF(C115=1,"I Kwartał",IF(C115=2,"II Kwartały",IF(C115=3,"III Kwartały",IF(C115=4,"IV Kwartały",IF(C115="M1","Styczeń",IF(C115="M11","Listopad",IF(C115="M12","Grudzień","-")))))))</f>
        <v>II Kwartały</v>
      </c>
    </row>
    <row r="116" spans="2:4" x14ac:dyDescent="0.2">
      <c r="B116" s="33" t="s">
        <v>42</v>
      </c>
      <c r="C116" s="110">
        <f>2025</f>
        <v>2025</v>
      </c>
      <c r="D116" s="34"/>
    </row>
    <row r="117" spans="2:4" x14ac:dyDescent="0.2">
      <c r="B117" s="33" t="s">
        <v>43</v>
      </c>
      <c r="C117" s="149" t="str">
        <f>"Aug 15 2025 12:00AM"</f>
        <v>Aug 15 2025 12:00AM</v>
      </c>
      <c r="D117" s="150"/>
    </row>
    <row r="118" spans="2:4" hidden="1" x14ac:dyDescent="0.2">
      <c r="B118" s="33" t="s">
        <v>48</v>
      </c>
      <c r="C118" s="111" t="str">
        <f>""</f>
        <v/>
      </c>
      <c r="D118" s="34"/>
    </row>
  </sheetData>
  <mergeCells count="29">
    <mergeCell ref="J3:L3"/>
    <mergeCell ref="E45:E47"/>
    <mergeCell ref="J48:K48"/>
    <mergeCell ref="K45:K47"/>
    <mergeCell ref="C117:D117"/>
    <mergeCell ref="F45:H45"/>
    <mergeCell ref="G46:H46"/>
    <mergeCell ref="C82:D82"/>
    <mergeCell ref="J45:J47"/>
    <mergeCell ref="D45:D47"/>
    <mergeCell ref="C103:D103"/>
    <mergeCell ref="E81:I83"/>
    <mergeCell ref="J82:K82"/>
    <mergeCell ref="B69:B70"/>
    <mergeCell ref="C69:D69"/>
    <mergeCell ref="E69:F69"/>
    <mergeCell ref="C3:D3"/>
    <mergeCell ref="I45:I47"/>
    <mergeCell ref="C48:I48"/>
    <mergeCell ref="B64:B65"/>
    <mergeCell ref="C64:D64"/>
    <mergeCell ref="E64:F64"/>
    <mergeCell ref="I61:J61"/>
    <mergeCell ref="B2:B3"/>
    <mergeCell ref="C45:C47"/>
    <mergeCell ref="B45:B48"/>
    <mergeCell ref="F46:F47"/>
    <mergeCell ref="E3:I4"/>
    <mergeCell ref="I60:J60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85" orientation="landscape" r:id="rId1"/>
  <headerFooter alignWithMargins="0">
    <oddFooter>&amp;RStrona &amp;P z &amp;N</oddFooter>
  </headerFooter>
  <rowBreaks count="4" manualBreakCount="4">
    <brk id="34" max="16383" man="1"/>
    <brk id="42" max="16383" man="1"/>
    <brk id="78" max="16383" man="1"/>
    <brk id="1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2025-02-07T10:35:46Z</cp:lastPrinted>
  <dcterms:created xsi:type="dcterms:W3CDTF">2001-05-17T08:58:03Z</dcterms:created>
  <dcterms:modified xsi:type="dcterms:W3CDTF">2025-08-21T11:42:44Z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2022-06-01T15:12:09.6306425+02:00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GRN-8d66ded2-1cb5-4e67-9970-33e716a7ea2e</vt:lpwstr>
  </property>
  <property fmtid="{D5CDD505-2E9C-101B-9397-08002B2CF9AE}" pid="7" name="MFHash">
    <vt:lpwstr>9/jS5PLDII7DMwS9o4x/sZmJJ/kSI9X7awFsxSFXuVM=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