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II kwartał\2025.11.14 Dane ostateczne\Zbiorówki_2025_k3_2025.11.14\Publikacja\"/>
    </mc:Choice>
  </mc:AlternateContent>
  <xr:revisionPtr revIDLastSave="0" documentId="13_ncr:1_{44E7E98F-89C6-424D-9925-7391766C0F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7" i="7" l="1"/>
  <c r="B106" i="7"/>
  <c r="B105" i="7"/>
  <c r="B104" i="7"/>
  <c r="I101" i="7"/>
  <c r="G101" i="7"/>
  <c r="I100" i="7"/>
  <c r="G100" i="7"/>
  <c r="I99" i="7"/>
  <c r="G99" i="7"/>
  <c r="L93" i="7"/>
  <c r="K93" i="7"/>
  <c r="J93" i="7"/>
  <c r="I93" i="7"/>
  <c r="H93" i="7"/>
  <c r="G93" i="7"/>
  <c r="F93" i="7"/>
  <c r="L92" i="7"/>
  <c r="K92" i="7"/>
  <c r="J92" i="7"/>
  <c r="I92" i="7"/>
  <c r="H92" i="7"/>
  <c r="G92" i="7"/>
  <c r="F92" i="7"/>
  <c r="L91" i="7"/>
  <c r="K91" i="7"/>
  <c r="J91" i="7"/>
  <c r="I91" i="7"/>
  <c r="H91" i="7"/>
  <c r="G91" i="7"/>
  <c r="F91" i="7"/>
  <c r="L90" i="7"/>
  <c r="K90" i="7"/>
  <c r="J90" i="7"/>
  <c r="I90" i="7"/>
  <c r="H90" i="7"/>
  <c r="G90" i="7"/>
  <c r="F90" i="7"/>
  <c r="L89" i="7"/>
  <c r="K89" i="7"/>
  <c r="J89" i="7"/>
  <c r="I89" i="7"/>
  <c r="H89" i="7"/>
  <c r="G89" i="7"/>
  <c r="F89" i="7"/>
  <c r="L88" i="7"/>
  <c r="K88" i="7"/>
  <c r="J88" i="7"/>
  <c r="I88" i="7"/>
  <c r="H88" i="7"/>
  <c r="G88" i="7"/>
  <c r="F88" i="7"/>
  <c r="L87" i="7"/>
  <c r="K87" i="7"/>
  <c r="J87" i="7"/>
  <c r="I87" i="7"/>
  <c r="H87" i="7"/>
  <c r="G87" i="7"/>
  <c r="F87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104" i="7" l="1"/>
  <c r="A96" i="7" l="1"/>
  <c r="A34" i="7"/>
  <c r="A77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<sst xmlns="http://schemas.openxmlformats.org/spreadsheetml/2006/main" count="97" uniqueCount="81">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</sst>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5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4" fontId="7" fillId="20" borderId="10" xfId="37" applyNumberFormat="1" applyFont="1" applyFill="1" applyBorder="1" applyAlignment="1">
      <alignment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8" fillId="0" borderId="17" xfId="0" applyFont="1" applyFill="1" applyBorder="1" applyAlignment="1">
      <alignment horizontal="left" vertical="center" wrapText="1" indent="1"/>
    </xf>
    <xf numFmtId="0" fontId="28" fillId="0" borderId="18" xfId="0" applyFont="1" applyFill="1" applyBorder="1" applyAlignment="1">
      <alignment horizontal="left" vertical="center" wrapText="1" indent="1"/>
    </xf>
    <xf numFmtId="0" fontId="28" fillId="0" borderId="17" xfId="0" applyFont="1" applyFill="1" applyBorder="1" applyAlignment="1">
      <alignment horizontal="left" vertical="center" indent="1"/>
    </xf>
    <xf numFmtId="0" fontId="33" fillId="0" borderId="17" xfId="0" applyFont="1" applyFill="1" applyBorder="1" applyAlignment="1">
      <alignment vertical="center" wrapText="1"/>
    </xf>
    <xf numFmtId="0" fontId="33" fillId="0" borderId="17" xfId="0" applyFont="1" applyFill="1" applyBorder="1" applyAlignment="1">
      <alignment vertical="center"/>
    </xf>
    <xf numFmtId="0" fontId="32" fillId="0" borderId="17" xfId="0" applyFont="1" applyFill="1" applyBorder="1" applyAlignment="1">
      <alignment vertical="center"/>
    </xf>
    <xf numFmtId="0" fontId="28" fillId="0" borderId="10" xfId="0" applyFont="1" applyFill="1" applyBorder="1" applyAlignment="1">
      <alignment horizontal="left" vertical="center" inden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31" fillId="21" borderId="17" xfId="0" applyFont="1" applyFill="1" applyBorder="1" applyAlignment="1">
      <alignment wrapText="1"/>
    </xf>
    <xf numFmtId="0" fontId="31" fillId="21" borderId="18" xfId="0" applyFont="1" applyFill="1" applyBorder="1" applyAlignment="1">
      <alignment wrapText="1"/>
    </xf>
    <xf numFmtId="0" fontId="31" fillId="21" borderId="18" xfId="0" applyFont="1" applyFill="1" applyBorder="1" applyAlignment="1">
      <alignment vertical="center"/>
    </xf>
    <xf numFmtId="0" fontId="31" fillId="21" borderId="17" xfId="0" applyFont="1" applyFill="1" applyBorder="1" applyAlignment="1">
      <alignment horizontal="left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32" fillId="21" borderId="17" xfId="0" applyFont="1" applyFill="1" applyBorder="1" applyAlignment="1">
      <alignment vertical="center" wrapText="1"/>
    </xf>
    <xf numFmtId="4" fontId="7" fillId="21" borderId="10" xfId="37" applyNumberFormat="1" applyFont="1" applyFill="1" applyBorder="1" applyAlignment="1">
      <alignment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4" fillId="0" borderId="0" xfId="37" applyFont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6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22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4" fontId="2" fillId="19" borderId="15" xfId="37" applyNumberFormat="1" applyFont="1" applyFill="1" applyBorder="1" applyAlignment="1">
      <alignment horizontal="center" vertical="center" wrapText="1"/>
    </xf>
    <xf numFmtId="4" fontId="2" fillId="19" borderId="14" xfId="37" applyNumberFormat="1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21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107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4.7109375" style="2" customWidth="1"/>
    <col min="4" max="4" width="13.28515625" style="2" customWidth="1"/>
    <col min="5" max="5" width="12.28515625" style="2" customWidth="1"/>
    <col min="6" max="6" width="11.85546875" style="2" customWidth="1"/>
    <col min="7" max="7" width="11" style="2" customWidth="1"/>
    <col min="8" max="8" width="11.140625" style="2" customWidth="1"/>
    <col min="9" max="9" width="12.28515625" style="2" customWidth="1"/>
    <col min="10" max="10" width="13.5703125" style="2" customWidth="1"/>
    <col min="11" max="11" width="12.140625" style="2" customWidth="1"/>
    <col min="12" max="12" width="13.28515625" style="2" customWidth="1"/>
    <col min="13" max="13" width="11.140625" style="2" bestFit="1" customWidth="1"/>
    <col min="14" max="14" width="11.28515625" style="2" bestFit="1" customWidth="1"/>
    <col min="15" max="15" width="9.28515625" style="2" bestFit="1" customWidth="1"/>
    <col min="16" max="16" width="7.5703125" style="2" bestFit="1" customWidth="1"/>
    <col min="17" max="17" width="9.85546875" style="2" bestFit="1" customWidth="1"/>
    <col min="18" max="16384" width="9.140625" style="2"/>
  </cols>
  <sheetData>
    <row r="1" spans="1:17" ht="75" customHeight="1" x14ac:dyDescent="0.2">
      <c r="A1" s="40" t="str">
        <f>CONCATENATE("Informacja z wykonania budżetów gmin za ",$C$104," ",$B$105," roku   ",$B$107,"")</f>
        <v xml:space="preserve">Informacja z wykonania budżetów gmin za III Kwartały 2025 roku   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80" t="s">
        <v>64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5" spans="1:17" ht="13.5" customHeight="1" x14ac:dyDescent="0.2">
      <c r="B5" s="12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11"/>
      <c r="O5" s="11"/>
      <c r="P5" s="11"/>
      <c r="Q5" s="11"/>
    </row>
    <row r="6" spans="1:17" ht="13.5" customHeight="1" x14ac:dyDescent="0.2">
      <c r="A6" s="92" t="s">
        <v>0</v>
      </c>
      <c r="B6" s="91" t="s">
        <v>65</v>
      </c>
      <c r="C6" s="84" t="s">
        <v>69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  <c r="O6" s="36" t="s">
        <v>68</v>
      </c>
      <c r="P6" s="37"/>
      <c r="Q6" s="38"/>
    </row>
    <row r="7" spans="1:17" ht="13.5" customHeight="1" x14ac:dyDescent="0.2">
      <c r="A7" s="93"/>
      <c r="B7" s="87"/>
      <c r="C7" s="81" t="s">
        <v>66</v>
      </c>
      <c r="D7" s="81" t="s">
        <v>77</v>
      </c>
      <c r="E7" s="81" t="s">
        <v>70</v>
      </c>
      <c r="F7" s="81" t="s">
        <v>71</v>
      </c>
      <c r="G7" s="81" t="s">
        <v>27</v>
      </c>
      <c r="H7" s="81" t="s">
        <v>28</v>
      </c>
      <c r="I7" s="82" t="s">
        <v>67</v>
      </c>
      <c r="J7" s="81" t="s">
        <v>16</v>
      </c>
      <c r="K7" s="81" t="s">
        <v>17</v>
      </c>
      <c r="L7" s="81" t="s">
        <v>18</v>
      </c>
      <c r="M7" s="81" t="s">
        <v>19</v>
      </c>
      <c r="N7" s="87" t="s">
        <v>20</v>
      </c>
      <c r="O7" s="39" t="s">
        <v>21</v>
      </c>
      <c r="P7" s="39" t="s">
        <v>22</v>
      </c>
      <c r="Q7" s="39" t="s">
        <v>23</v>
      </c>
    </row>
    <row r="8" spans="1:17" ht="13.5" customHeight="1" x14ac:dyDescent="0.2">
      <c r="A8" s="93"/>
      <c r="B8" s="87"/>
      <c r="C8" s="41"/>
      <c r="D8" s="41"/>
      <c r="E8" s="41"/>
      <c r="F8" s="41"/>
      <c r="G8" s="41"/>
      <c r="H8" s="41"/>
      <c r="I8" s="82"/>
      <c r="J8" s="41"/>
      <c r="K8" s="41"/>
      <c r="L8" s="41"/>
      <c r="M8" s="41"/>
      <c r="N8" s="87"/>
      <c r="O8" s="39"/>
      <c r="P8" s="39"/>
      <c r="Q8" s="39"/>
    </row>
    <row r="9" spans="1:17" ht="11.25" customHeight="1" x14ac:dyDescent="0.2">
      <c r="A9" s="93"/>
      <c r="B9" s="87"/>
      <c r="C9" s="41"/>
      <c r="D9" s="41"/>
      <c r="E9" s="41"/>
      <c r="F9" s="41"/>
      <c r="G9" s="41"/>
      <c r="H9" s="41"/>
      <c r="I9" s="82"/>
      <c r="J9" s="41"/>
      <c r="K9" s="41"/>
      <c r="L9" s="41"/>
      <c r="M9" s="41"/>
      <c r="N9" s="87"/>
      <c r="O9" s="39"/>
      <c r="P9" s="39"/>
      <c r="Q9" s="39"/>
    </row>
    <row r="10" spans="1:17" ht="16.5" customHeight="1" x14ac:dyDescent="0.2">
      <c r="A10" s="94"/>
      <c r="B10" s="81"/>
      <c r="C10" s="41"/>
      <c r="D10" s="41"/>
      <c r="E10" s="41"/>
      <c r="F10" s="41"/>
      <c r="G10" s="41"/>
      <c r="H10" s="41"/>
      <c r="I10" s="83"/>
      <c r="J10" s="41"/>
      <c r="K10" s="41"/>
      <c r="L10" s="41"/>
      <c r="M10" s="41"/>
      <c r="N10" s="81"/>
      <c r="O10" s="39"/>
      <c r="P10" s="39"/>
      <c r="Q10" s="39"/>
    </row>
    <row r="11" spans="1:17" ht="16.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95" t="s">
        <v>80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63"/>
      <c r="P12" s="63"/>
      <c r="Q12" s="64"/>
    </row>
    <row r="13" spans="1:17" ht="48" x14ac:dyDescent="0.2">
      <c r="A13" s="27" t="s">
        <v>46</v>
      </c>
      <c r="B13" s="28">
        <f>41091721789.34</f>
        <v>41091721789.339996</v>
      </c>
      <c r="C13" s="28">
        <f>41091720908.22</f>
        <v>41091720908.220001</v>
      </c>
      <c r="D13" s="28">
        <f>2458745987.64</f>
        <v>2458745987.6399999</v>
      </c>
      <c r="E13" s="28">
        <f>444500241.3</f>
        <v>444500241.30000001</v>
      </c>
      <c r="F13" s="28">
        <f>459901500.54</f>
        <v>459901500.54000002</v>
      </c>
      <c r="G13" s="28">
        <f>1553762098.8</f>
        <v>1553762098.8</v>
      </c>
      <c r="H13" s="28">
        <f>582147</f>
        <v>582147</v>
      </c>
      <c r="I13" s="28">
        <f>0</f>
        <v>0</v>
      </c>
      <c r="J13" s="28">
        <f>36570597175.58</f>
        <v>36570597175.580002</v>
      </c>
      <c r="K13" s="28">
        <f>1842333126.33</f>
        <v>1842333126.3299999</v>
      </c>
      <c r="L13" s="28">
        <f>187029447.6</f>
        <v>187029447.59999999</v>
      </c>
      <c r="M13" s="28">
        <f>20557911.59</f>
        <v>20557911.59</v>
      </c>
      <c r="N13" s="28">
        <f>12457259.48</f>
        <v>12457259.48</v>
      </c>
      <c r="O13" s="28">
        <f>881.12</f>
        <v>881.12</v>
      </c>
      <c r="P13" s="28">
        <f>0</f>
        <v>0</v>
      </c>
      <c r="Q13" s="28">
        <f>881.12</f>
        <v>881.12</v>
      </c>
    </row>
    <row r="14" spans="1:17" ht="26.25" customHeight="1" x14ac:dyDescent="0.2">
      <c r="A14" s="29" t="s">
        <v>47</v>
      </c>
      <c r="B14" s="28">
        <f>1194289000</f>
        <v>1194289000</v>
      </c>
      <c r="C14" s="28">
        <f>1194289000</f>
        <v>1194289000</v>
      </c>
      <c r="D14" s="28">
        <f>0</f>
        <v>0</v>
      </c>
      <c r="E14" s="28">
        <f>0</f>
        <v>0</v>
      </c>
      <c r="F14" s="28">
        <f>0</f>
        <v>0</v>
      </c>
      <c r="G14" s="28">
        <f>0</f>
        <v>0</v>
      </c>
      <c r="H14" s="28">
        <f>0</f>
        <v>0</v>
      </c>
      <c r="I14" s="28">
        <f>0</f>
        <v>0</v>
      </c>
      <c r="J14" s="28">
        <f>1156339000</f>
        <v>1156339000</v>
      </c>
      <c r="K14" s="28">
        <f>37950000</f>
        <v>37950000</v>
      </c>
      <c r="L14" s="28">
        <f>0</f>
        <v>0</v>
      </c>
      <c r="M14" s="28">
        <f>0</f>
        <v>0</v>
      </c>
      <c r="N14" s="28">
        <f>0</f>
        <v>0</v>
      </c>
      <c r="O14" s="28">
        <f>0</f>
        <v>0</v>
      </c>
      <c r="P14" s="28">
        <f>0</f>
        <v>0</v>
      </c>
      <c r="Q14" s="28">
        <f>0</f>
        <v>0</v>
      </c>
    </row>
    <row r="15" spans="1:17" ht="27" customHeight="1" x14ac:dyDescent="0.2">
      <c r="A15" s="19" t="s">
        <v>48</v>
      </c>
      <c r="B15" s="33">
        <f>0</f>
        <v>0</v>
      </c>
      <c r="C15" s="33">
        <f>0</f>
        <v>0</v>
      </c>
      <c r="D15" s="33">
        <f>0</f>
        <v>0</v>
      </c>
      <c r="E15" s="33">
        <f>0</f>
        <v>0</v>
      </c>
      <c r="F15" s="33">
        <f>0</f>
        <v>0</v>
      </c>
      <c r="G15" s="33">
        <f>0</f>
        <v>0</v>
      </c>
      <c r="H15" s="33">
        <f>0</f>
        <v>0</v>
      </c>
      <c r="I15" s="33">
        <f>0</f>
        <v>0</v>
      </c>
      <c r="J15" s="33">
        <f>0</f>
        <v>0</v>
      </c>
      <c r="K15" s="33">
        <f>0</f>
        <v>0</v>
      </c>
      <c r="L15" s="33">
        <f>0</f>
        <v>0</v>
      </c>
      <c r="M15" s="33">
        <f>0</f>
        <v>0</v>
      </c>
      <c r="N15" s="33">
        <f>0</f>
        <v>0</v>
      </c>
      <c r="O15" s="33">
        <f>0</f>
        <v>0</v>
      </c>
      <c r="P15" s="33">
        <f>0</f>
        <v>0</v>
      </c>
      <c r="Q15" s="33">
        <f>0</f>
        <v>0</v>
      </c>
    </row>
    <row r="16" spans="1:17" ht="24" customHeight="1" x14ac:dyDescent="0.2">
      <c r="A16" s="19" t="s">
        <v>49</v>
      </c>
      <c r="B16" s="33">
        <f>1194289000</f>
        <v>1194289000</v>
      </c>
      <c r="C16" s="33">
        <f>1194289000</f>
        <v>1194289000</v>
      </c>
      <c r="D16" s="33">
        <f>0</f>
        <v>0</v>
      </c>
      <c r="E16" s="33">
        <f>0</f>
        <v>0</v>
      </c>
      <c r="F16" s="33">
        <f>0</f>
        <v>0</v>
      </c>
      <c r="G16" s="33">
        <f>0</f>
        <v>0</v>
      </c>
      <c r="H16" s="33">
        <f>0</f>
        <v>0</v>
      </c>
      <c r="I16" s="33">
        <f>0</f>
        <v>0</v>
      </c>
      <c r="J16" s="33">
        <f>1156339000</f>
        <v>1156339000</v>
      </c>
      <c r="K16" s="33">
        <f>37950000</f>
        <v>37950000</v>
      </c>
      <c r="L16" s="33">
        <f>0</f>
        <v>0</v>
      </c>
      <c r="M16" s="33">
        <f>0</f>
        <v>0</v>
      </c>
      <c r="N16" s="33">
        <f>0</f>
        <v>0</v>
      </c>
      <c r="O16" s="33">
        <f>0</f>
        <v>0</v>
      </c>
      <c r="P16" s="33">
        <f>0</f>
        <v>0</v>
      </c>
      <c r="Q16" s="33">
        <f>0</f>
        <v>0</v>
      </c>
    </row>
    <row r="17" spans="1:17" ht="31.5" customHeight="1" x14ac:dyDescent="0.2">
      <c r="A17" s="30" t="s">
        <v>50</v>
      </c>
      <c r="B17" s="28">
        <f>39852708433.49</f>
        <v>39852708433.489998</v>
      </c>
      <c r="C17" s="28">
        <f>39852708433.49</f>
        <v>39852708433.489998</v>
      </c>
      <c r="D17" s="28">
        <f>2447862915.15</f>
        <v>2447862915.1500001</v>
      </c>
      <c r="E17" s="28">
        <f>444084064.06</f>
        <v>444084064.06</v>
      </c>
      <c r="F17" s="28">
        <f>459880894.25</f>
        <v>459880894.25</v>
      </c>
      <c r="G17" s="28">
        <f>1543897956.84</f>
        <v>1543897956.8399999</v>
      </c>
      <c r="H17" s="28">
        <f>0</f>
        <v>0</v>
      </c>
      <c r="I17" s="28">
        <f>0</f>
        <v>0</v>
      </c>
      <c r="J17" s="28">
        <f>35414258175.58</f>
        <v>35414258175.580002</v>
      </c>
      <c r="K17" s="28">
        <f>1804355264.59</f>
        <v>1804355264.5899999</v>
      </c>
      <c r="L17" s="28">
        <f>163511145.85</f>
        <v>163511145.84999999</v>
      </c>
      <c r="M17" s="28">
        <f>12100919.76</f>
        <v>12100919.76</v>
      </c>
      <c r="N17" s="28">
        <f>10620012.56</f>
        <v>10620012.560000001</v>
      </c>
      <c r="O17" s="28">
        <f>0</f>
        <v>0</v>
      </c>
      <c r="P17" s="28">
        <f>0</f>
        <v>0</v>
      </c>
      <c r="Q17" s="28">
        <f>0</f>
        <v>0</v>
      </c>
    </row>
    <row r="18" spans="1:17" ht="33" customHeight="1" x14ac:dyDescent="0.2">
      <c r="A18" s="20" t="s">
        <v>51</v>
      </c>
      <c r="B18" s="33">
        <f>446541362.03</f>
        <v>446541362.02999997</v>
      </c>
      <c r="C18" s="33">
        <f>446541362.03</f>
        <v>446541362.02999997</v>
      </c>
      <c r="D18" s="33">
        <f>83239165.35</f>
        <v>83239165.349999994</v>
      </c>
      <c r="E18" s="33">
        <f>71851670.65</f>
        <v>71851670.650000006</v>
      </c>
      <c r="F18" s="33">
        <f>239971</f>
        <v>239971</v>
      </c>
      <c r="G18" s="33">
        <f>11147523.7</f>
        <v>11147523.699999999</v>
      </c>
      <c r="H18" s="33">
        <f>0</f>
        <v>0</v>
      </c>
      <c r="I18" s="33">
        <f>0</f>
        <v>0</v>
      </c>
      <c r="J18" s="33">
        <f>359931311.57</f>
        <v>359931311.56999999</v>
      </c>
      <c r="K18" s="33">
        <f>1991169.97</f>
        <v>1991169.97</v>
      </c>
      <c r="L18" s="33">
        <f>34171.14</f>
        <v>34171.14</v>
      </c>
      <c r="M18" s="33">
        <f>1345544</f>
        <v>1345544</v>
      </c>
      <c r="N18" s="33">
        <f>0</f>
        <v>0</v>
      </c>
      <c r="O18" s="33">
        <f>0</f>
        <v>0</v>
      </c>
      <c r="P18" s="33">
        <f>0</f>
        <v>0</v>
      </c>
      <c r="Q18" s="33">
        <f>0</f>
        <v>0</v>
      </c>
    </row>
    <row r="19" spans="1:17" ht="25.5" customHeight="1" x14ac:dyDescent="0.2">
      <c r="A19" s="21" t="s">
        <v>52</v>
      </c>
      <c r="B19" s="33">
        <f>39406167071.46</f>
        <v>39406167071.459999</v>
      </c>
      <c r="C19" s="33">
        <f>39406167071.46</f>
        <v>39406167071.459999</v>
      </c>
      <c r="D19" s="33">
        <f>2364623749.8</f>
        <v>2364623749.8000002</v>
      </c>
      <c r="E19" s="33">
        <f>372232393.41</f>
        <v>372232393.41000003</v>
      </c>
      <c r="F19" s="33">
        <f>459640923.25</f>
        <v>459640923.25</v>
      </c>
      <c r="G19" s="33">
        <f>1532750433.14</f>
        <v>1532750433.1400001</v>
      </c>
      <c r="H19" s="33">
        <f>0</f>
        <v>0</v>
      </c>
      <c r="I19" s="33">
        <f>0</f>
        <v>0</v>
      </c>
      <c r="J19" s="33">
        <f>35054326864.01</f>
        <v>35054326864.010002</v>
      </c>
      <c r="K19" s="33">
        <f>1802364094.62</f>
        <v>1802364094.6199999</v>
      </c>
      <c r="L19" s="33">
        <f>163476974.71</f>
        <v>163476974.71000001</v>
      </c>
      <c r="M19" s="33">
        <f>10755375.76</f>
        <v>10755375.76</v>
      </c>
      <c r="N19" s="33">
        <f>10620012.56</f>
        <v>10620012.560000001</v>
      </c>
      <c r="O19" s="33">
        <f>0</f>
        <v>0</v>
      </c>
      <c r="P19" s="33">
        <f>0</f>
        <v>0</v>
      </c>
      <c r="Q19" s="33">
        <f>0</f>
        <v>0</v>
      </c>
    </row>
    <row r="20" spans="1:17" ht="27.75" customHeight="1" x14ac:dyDescent="0.2">
      <c r="A20" s="31" t="s">
        <v>53</v>
      </c>
      <c r="B20" s="28">
        <f>1500000</f>
        <v>1500000</v>
      </c>
      <c r="C20" s="28">
        <f>1500000</f>
        <v>1500000</v>
      </c>
      <c r="D20" s="28">
        <f>1500000</f>
        <v>1500000</v>
      </c>
      <c r="E20" s="28">
        <f>0</f>
        <v>0</v>
      </c>
      <c r="F20" s="28">
        <f>0</f>
        <v>0</v>
      </c>
      <c r="G20" s="28">
        <f>1500000</f>
        <v>1500000</v>
      </c>
      <c r="H20" s="28">
        <f>0</f>
        <v>0</v>
      </c>
      <c r="I20" s="28">
        <f>0</f>
        <v>0</v>
      </c>
      <c r="J20" s="28">
        <f>0</f>
        <v>0</v>
      </c>
      <c r="K20" s="28">
        <f>0</f>
        <v>0</v>
      </c>
      <c r="L20" s="28">
        <f>0</f>
        <v>0</v>
      </c>
      <c r="M20" s="28">
        <f>0</f>
        <v>0</v>
      </c>
      <c r="N20" s="28">
        <f>0</f>
        <v>0</v>
      </c>
      <c r="O20" s="28">
        <f>0</f>
        <v>0</v>
      </c>
      <c r="P20" s="28">
        <f>0</f>
        <v>0</v>
      </c>
      <c r="Q20" s="28">
        <f>0</f>
        <v>0</v>
      </c>
    </row>
    <row r="21" spans="1:17" ht="36" x14ac:dyDescent="0.2">
      <c r="A21" s="32" t="s">
        <v>54</v>
      </c>
      <c r="B21" s="28">
        <f>43224355.85</f>
        <v>43224355.850000001</v>
      </c>
      <c r="C21" s="28">
        <f>43223474.73</f>
        <v>43223474.729999997</v>
      </c>
      <c r="D21" s="28">
        <f>9383072.49</f>
        <v>9383072.4900000002</v>
      </c>
      <c r="E21" s="28">
        <f>416177.24</f>
        <v>416177.24</v>
      </c>
      <c r="F21" s="28">
        <f>20606.29</f>
        <v>20606.29</v>
      </c>
      <c r="G21" s="28">
        <f>8364141.96</f>
        <v>8364141.96</v>
      </c>
      <c r="H21" s="28">
        <f>582147</f>
        <v>582147</v>
      </c>
      <c r="I21" s="28">
        <f>0</f>
        <v>0</v>
      </c>
      <c r="J21" s="28">
        <f>0</f>
        <v>0</v>
      </c>
      <c r="K21" s="28">
        <f>27861.74</f>
        <v>27861.74</v>
      </c>
      <c r="L21" s="28">
        <f>23518301.75</f>
        <v>23518301.75</v>
      </c>
      <c r="M21" s="28">
        <f>8456991.83</f>
        <v>8456991.8300000001</v>
      </c>
      <c r="N21" s="28">
        <f>1837246.92</f>
        <v>1837246.92</v>
      </c>
      <c r="O21" s="28">
        <f>881.12</f>
        <v>881.12</v>
      </c>
      <c r="P21" s="28">
        <f>0</f>
        <v>0</v>
      </c>
      <c r="Q21" s="28">
        <f>881.12</f>
        <v>881.12</v>
      </c>
    </row>
    <row r="22" spans="1:17" ht="27" customHeight="1" x14ac:dyDescent="0.2">
      <c r="A22" s="19" t="s">
        <v>55</v>
      </c>
      <c r="B22" s="33">
        <f>29786807.17</f>
        <v>29786807.170000002</v>
      </c>
      <c r="C22" s="33">
        <f>29786807.17</f>
        <v>29786807.170000002</v>
      </c>
      <c r="D22" s="33">
        <f>1562621.75</f>
        <v>1562621.75</v>
      </c>
      <c r="E22" s="33">
        <f>33697</f>
        <v>33697</v>
      </c>
      <c r="F22" s="33">
        <f>1050</f>
        <v>1050</v>
      </c>
      <c r="G22" s="33">
        <f>1527874.75</f>
        <v>1527874.75</v>
      </c>
      <c r="H22" s="33">
        <f>0</f>
        <v>0</v>
      </c>
      <c r="I22" s="33">
        <f>0</f>
        <v>0</v>
      </c>
      <c r="J22" s="33">
        <f>0</f>
        <v>0</v>
      </c>
      <c r="K22" s="33">
        <f>4306.14</f>
        <v>4306.1400000000003</v>
      </c>
      <c r="L22" s="33">
        <f>20205021.48</f>
        <v>20205021.48</v>
      </c>
      <c r="M22" s="33">
        <f>6190426.52</f>
        <v>6190426.5199999996</v>
      </c>
      <c r="N22" s="33">
        <f>1824431.28</f>
        <v>1824431.28</v>
      </c>
      <c r="O22" s="33">
        <f>0</f>
        <v>0</v>
      </c>
      <c r="P22" s="33">
        <f>0</f>
        <v>0</v>
      </c>
      <c r="Q22" s="33">
        <f>0</f>
        <v>0</v>
      </c>
    </row>
    <row r="23" spans="1:17" ht="31.5" customHeight="1" x14ac:dyDescent="0.2">
      <c r="A23" s="25" t="s">
        <v>56</v>
      </c>
      <c r="B23" s="33">
        <f>13437548.68</f>
        <v>13437548.68</v>
      </c>
      <c r="C23" s="33">
        <f>13436667.56</f>
        <v>13436667.560000001</v>
      </c>
      <c r="D23" s="33">
        <f>7820450.74</f>
        <v>7820450.7400000002</v>
      </c>
      <c r="E23" s="33">
        <f>382480.24</f>
        <v>382480.24</v>
      </c>
      <c r="F23" s="33">
        <f>19556.29</f>
        <v>19556.29</v>
      </c>
      <c r="G23" s="33">
        <f>6836267.21</f>
        <v>6836267.21</v>
      </c>
      <c r="H23" s="33">
        <f>582147</f>
        <v>582147</v>
      </c>
      <c r="I23" s="33">
        <f>0</f>
        <v>0</v>
      </c>
      <c r="J23" s="33">
        <f>0</f>
        <v>0</v>
      </c>
      <c r="K23" s="33">
        <f>23555.6</f>
        <v>23555.599999999999</v>
      </c>
      <c r="L23" s="33">
        <f>3313280.27</f>
        <v>3313280.27</v>
      </c>
      <c r="M23" s="33">
        <f>2266565.31</f>
        <v>2266565.31</v>
      </c>
      <c r="N23" s="33">
        <f>12815.64</f>
        <v>12815.64</v>
      </c>
      <c r="O23" s="33">
        <f>881.12</f>
        <v>881.12</v>
      </c>
      <c r="P23" s="33">
        <f>0</f>
        <v>0</v>
      </c>
      <c r="Q23" s="33">
        <f>881.12</f>
        <v>881.12</v>
      </c>
    </row>
    <row r="24" spans="1:17" ht="19.5" customHeight="1" x14ac:dyDescent="0.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9.5" customHeight="1" x14ac:dyDescent="0.2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9.5" customHeight="1" x14ac:dyDescent="0.2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9.5" customHeight="1" x14ac:dyDescent="0.2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9.5" customHeigh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ht="19.5" customHeight="1" x14ac:dyDescent="0.2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9.5" customHeight="1" x14ac:dyDescent="0.2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9.5" customHeight="1" x14ac:dyDescent="0.2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9.5" customHeight="1" x14ac:dyDescent="0.2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9.5" customHeight="1" x14ac:dyDescent="0.2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45.75" customHeight="1" x14ac:dyDescent="0.2">
      <c r="A34" s="40" t="str">
        <f>CONCATENATE("Informacja z wykonania budżetów gmin za ",$C$104," ",$B$105," roku   ",$B$107,"")</f>
        <v xml:space="preserve">Informacja z wykonania budżetów gmin za III Kwartały 2025 roku   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</row>
    <row r="36" spans="1:17" ht="13.5" customHeight="1" x14ac:dyDescent="0.2">
      <c r="A36" s="80" t="s">
        <v>11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</row>
    <row r="38" spans="1:17" ht="13.5" customHeight="1" x14ac:dyDescent="0.2">
      <c r="A38" s="97" t="s">
        <v>0</v>
      </c>
      <c r="B38" s="91" t="s">
        <v>12</v>
      </c>
      <c r="C38" s="84" t="s">
        <v>14</v>
      </c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6"/>
      <c r="O38" s="88" t="s">
        <v>24</v>
      </c>
      <c r="P38" s="89"/>
      <c r="Q38" s="90"/>
    </row>
    <row r="39" spans="1:17" ht="13.5" customHeight="1" x14ac:dyDescent="0.2">
      <c r="A39" s="98"/>
      <c r="B39" s="87"/>
      <c r="C39" s="87" t="s">
        <v>13</v>
      </c>
      <c r="D39" s="41" t="s">
        <v>15</v>
      </c>
      <c r="E39" s="41" t="s">
        <v>25</v>
      </c>
      <c r="F39" s="41" t="s">
        <v>26</v>
      </c>
      <c r="G39" s="41" t="s">
        <v>74</v>
      </c>
      <c r="H39" s="41" t="s">
        <v>28</v>
      </c>
      <c r="I39" s="41" t="s">
        <v>1</v>
      </c>
      <c r="J39" s="41" t="s">
        <v>16</v>
      </c>
      <c r="K39" s="41" t="s">
        <v>17</v>
      </c>
      <c r="L39" s="41" t="s">
        <v>18</v>
      </c>
      <c r="M39" s="41" t="s">
        <v>19</v>
      </c>
      <c r="N39" s="100" t="s">
        <v>20</v>
      </c>
      <c r="O39" s="39" t="s">
        <v>21</v>
      </c>
      <c r="P39" s="39" t="s">
        <v>22</v>
      </c>
      <c r="Q39" s="42" t="s">
        <v>23</v>
      </c>
    </row>
    <row r="40" spans="1:17" ht="11.25" customHeight="1" x14ac:dyDescent="0.2">
      <c r="A40" s="98"/>
      <c r="B40" s="87"/>
      <c r="C40" s="87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100"/>
      <c r="O40" s="39"/>
      <c r="P40" s="39"/>
      <c r="Q40" s="43"/>
    </row>
    <row r="41" spans="1:17" ht="32.25" customHeight="1" x14ac:dyDescent="0.2">
      <c r="A41" s="99"/>
      <c r="B41" s="81"/>
      <c r="C41" s="8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100"/>
      <c r="O41" s="39"/>
      <c r="P41" s="39"/>
      <c r="Q41" s="44"/>
    </row>
    <row r="42" spans="1:17" ht="12.75" customHeight="1" x14ac:dyDescent="0.2">
      <c r="A42" s="14">
        <v>1</v>
      </c>
      <c r="B42" s="14">
        <v>2</v>
      </c>
      <c r="C42" s="14">
        <v>3</v>
      </c>
      <c r="D42" s="14">
        <v>4</v>
      </c>
      <c r="E42" s="14">
        <v>5</v>
      </c>
      <c r="F42" s="14">
        <v>6</v>
      </c>
      <c r="G42" s="14">
        <v>7</v>
      </c>
      <c r="H42" s="14">
        <v>8</v>
      </c>
      <c r="I42" s="14">
        <v>9</v>
      </c>
      <c r="J42" s="14">
        <v>10</v>
      </c>
      <c r="K42" s="14">
        <v>11</v>
      </c>
      <c r="L42" s="14">
        <v>12</v>
      </c>
      <c r="M42" s="14">
        <v>13</v>
      </c>
      <c r="N42" s="14">
        <v>14</v>
      </c>
      <c r="O42" s="14">
        <v>15</v>
      </c>
      <c r="P42" s="14">
        <v>16</v>
      </c>
      <c r="Q42" s="14">
        <v>17</v>
      </c>
    </row>
    <row r="43" spans="1:17" ht="13.5" customHeight="1" x14ac:dyDescent="0.2">
      <c r="A43" s="14"/>
      <c r="B43" s="84" t="s">
        <v>80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6"/>
    </row>
    <row r="44" spans="1:17" ht="24.75" customHeight="1" x14ac:dyDescent="0.2">
      <c r="A44" s="34" t="s">
        <v>41</v>
      </c>
      <c r="B44" s="35">
        <f>75780242.33</f>
        <v>75780242.329999998</v>
      </c>
      <c r="C44" s="35">
        <f>75780242.33</f>
        <v>75780242.329999998</v>
      </c>
      <c r="D44" s="35">
        <f>0</f>
        <v>0</v>
      </c>
      <c r="E44" s="35">
        <f>0</f>
        <v>0</v>
      </c>
      <c r="F44" s="35">
        <f>0</f>
        <v>0</v>
      </c>
      <c r="G44" s="35">
        <f>0</f>
        <v>0</v>
      </c>
      <c r="H44" s="35">
        <f>0</f>
        <v>0</v>
      </c>
      <c r="I44" s="35">
        <f>0</f>
        <v>0</v>
      </c>
      <c r="J44" s="35">
        <f>69780161.9</f>
        <v>69780161.900000006</v>
      </c>
      <c r="K44" s="35">
        <f>5999080.43</f>
        <v>5999080.4299999997</v>
      </c>
      <c r="L44" s="35">
        <f>1000</f>
        <v>1000</v>
      </c>
      <c r="M44" s="35">
        <f>0</f>
        <v>0</v>
      </c>
      <c r="N44" s="35">
        <f>0</f>
        <v>0</v>
      </c>
      <c r="O44" s="35">
        <f>0</f>
        <v>0</v>
      </c>
      <c r="P44" s="35">
        <f>0</f>
        <v>0</v>
      </c>
      <c r="Q44" s="35">
        <f>0</f>
        <v>0</v>
      </c>
    </row>
    <row r="45" spans="1:17" ht="24.75" customHeight="1" x14ac:dyDescent="0.2">
      <c r="A45" s="23" t="s">
        <v>29</v>
      </c>
      <c r="B45" s="26">
        <f>5999080.43</f>
        <v>5999080.4299999997</v>
      </c>
      <c r="C45" s="26">
        <f>5999080.43</f>
        <v>5999080.4299999997</v>
      </c>
      <c r="D45" s="26">
        <f>0</f>
        <v>0</v>
      </c>
      <c r="E45" s="26">
        <f>0</f>
        <v>0</v>
      </c>
      <c r="F45" s="26">
        <f>0</f>
        <v>0</v>
      </c>
      <c r="G45" s="26">
        <f>0</f>
        <v>0</v>
      </c>
      <c r="H45" s="26">
        <f>0</f>
        <v>0</v>
      </c>
      <c r="I45" s="26">
        <f>0</f>
        <v>0</v>
      </c>
      <c r="J45" s="26">
        <f>0</f>
        <v>0</v>
      </c>
      <c r="K45" s="26">
        <f>5999080.43</f>
        <v>5999080.4299999997</v>
      </c>
      <c r="L45" s="26">
        <f>0</f>
        <v>0</v>
      </c>
      <c r="M45" s="26">
        <f>0</f>
        <v>0</v>
      </c>
      <c r="N45" s="26">
        <f>0</f>
        <v>0</v>
      </c>
      <c r="O45" s="15">
        <f>0</f>
        <v>0</v>
      </c>
      <c r="P45" s="15">
        <f>0</f>
        <v>0</v>
      </c>
      <c r="Q45" s="15">
        <f>0</f>
        <v>0</v>
      </c>
    </row>
    <row r="46" spans="1:17" ht="24.75" customHeight="1" x14ac:dyDescent="0.2">
      <c r="A46" s="23" t="s">
        <v>30</v>
      </c>
      <c r="B46" s="26">
        <f>69781161.9</f>
        <v>69781161.900000006</v>
      </c>
      <c r="C46" s="26">
        <f>69781161.9</f>
        <v>69781161.900000006</v>
      </c>
      <c r="D46" s="26">
        <f>0</f>
        <v>0</v>
      </c>
      <c r="E46" s="26">
        <f>0</f>
        <v>0</v>
      </c>
      <c r="F46" s="26">
        <f>0</f>
        <v>0</v>
      </c>
      <c r="G46" s="26">
        <f>0</f>
        <v>0</v>
      </c>
      <c r="H46" s="26">
        <f>0</f>
        <v>0</v>
      </c>
      <c r="I46" s="26">
        <f>0</f>
        <v>0</v>
      </c>
      <c r="J46" s="26">
        <f>69780161.9</f>
        <v>69780161.900000006</v>
      </c>
      <c r="K46" s="26">
        <f>0</f>
        <v>0</v>
      </c>
      <c r="L46" s="26">
        <f>1000</f>
        <v>1000</v>
      </c>
      <c r="M46" s="26">
        <f>0</f>
        <v>0</v>
      </c>
      <c r="N46" s="26">
        <f>0</f>
        <v>0</v>
      </c>
      <c r="O46" s="15">
        <f>0</f>
        <v>0</v>
      </c>
      <c r="P46" s="15">
        <f>0</f>
        <v>0</v>
      </c>
      <c r="Q46" s="15">
        <f>0</f>
        <v>0</v>
      </c>
    </row>
    <row r="47" spans="1:17" ht="24.75" customHeight="1" x14ac:dyDescent="0.2">
      <c r="A47" s="24" t="s">
        <v>42</v>
      </c>
      <c r="B47" s="26">
        <f>516825880.84</f>
        <v>516825880.83999997</v>
      </c>
      <c r="C47" s="26">
        <f>516646781.62</f>
        <v>516646781.62</v>
      </c>
      <c r="D47" s="26">
        <f>40522479.44</f>
        <v>40522479.439999998</v>
      </c>
      <c r="E47" s="26">
        <f>48445.27</f>
        <v>48445.27</v>
      </c>
      <c r="F47" s="26">
        <f>1850000</f>
        <v>1850000</v>
      </c>
      <c r="G47" s="26">
        <f>34324034.17</f>
        <v>34324034.170000002</v>
      </c>
      <c r="H47" s="26">
        <f>4300000</f>
        <v>4300000</v>
      </c>
      <c r="I47" s="26">
        <f>0</f>
        <v>0</v>
      </c>
      <c r="J47" s="26">
        <f>43014876.91</f>
        <v>43014876.909999996</v>
      </c>
      <c r="K47" s="26">
        <f>0</f>
        <v>0</v>
      </c>
      <c r="L47" s="26">
        <f>210146991.1</f>
        <v>210146991.09999999</v>
      </c>
      <c r="M47" s="26">
        <f>202923414.49</f>
        <v>202923414.49000001</v>
      </c>
      <c r="N47" s="26">
        <f>20039019.68</f>
        <v>20039019.68</v>
      </c>
      <c r="O47" s="15">
        <f>179099.22</f>
        <v>179099.22</v>
      </c>
      <c r="P47" s="15">
        <f>14099.22</f>
        <v>14099.22</v>
      </c>
      <c r="Q47" s="15">
        <f>165000</f>
        <v>165000</v>
      </c>
    </row>
    <row r="48" spans="1:17" ht="24.75" customHeight="1" x14ac:dyDescent="0.2">
      <c r="A48" s="23" t="s">
        <v>31</v>
      </c>
      <c r="B48" s="26">
        <f>70431127.53</f>
        <v>70431127.530000001</v>
      </c>
      <c r="C48" s="26">
        <f>70366127.53</f>
        <v>70366127.530000001</v>
      </c>
      <c r="D48" s="26">
        <f>16848224.53</f>
        <v>16848224.530000001</v>
      </c>
      <c r="E48" s="26">
        <f>31494.72</f>
        <v>31494.720000000001</v>
      </c>
      <c r="F48" s="26">
        <f>1000000</f>
        <v>1000000</v>
      </c>
      <c r="G48" s="26">
        <f>11516729.81</f>
        <v>11516729.810000001</v>
      </c>
      <c r="H48" s="26">
        <f>4300000</f>
        <v>4300000</v>
      </c>
      <c r="I48" s="26">
        <f>0</f>
        <v>0</v>
      </c>
      <c r="J48" s="26">
        <f>0</f>
        <v>0</v>
      </c>
      <c r="K48" s="26">
        <f>0</f>
        <v>0</v>
      </c>
      <c r="L48" s="26">
        <f>43739333.03</f>
        <v>43739333.030000001</v>
      </c>
      <c r="M48" s="26">
        <f>1578358.45</f>
        <v>1578358.45</v>
      </c>
      <c r="N48" s="26">
        <f>8200211.52</f>
        <v>8200211.5199999996</v>
      </c>
      <c r="O48" s="15">
        <f>65000</f>
        <v>65000</v>
      </c>
      <c r="P48" s="15">
        <f>0</f>
        <v>0</v>
      </c>
      <c r="Q48" s="15">
        <f>65000</f>
        <v>65000</v>
      </c>
    </row>
    <row r="49" spans="1:17" ht="24.75" customHeight="1" x14ac:dyDescent="0.2">
      <c r="A49" s="23" t="s">
        <v>32</v>
      </c>
      <c r="B49" s="26">
        <f>446394753.31</f>
        <v>446394753.31</v>
      </c>
      <c r="C49" s="26">
        <f>446280654.09</f>
        <v>446280654.08999997</v>
      </c>
      <c r="D49" s="26">
        <f>23674254.91</f>
        <v>23674254.91</v>
      </c>
      <c r="E49" s="26">
        <f>16950.55</f>
        <v>16950.55</v>
      </c>
      <c r="F49" s="26">
        <f>850000</f>
        <v>850000</v>
      </c>
      <c r="G49" s="26">
        <f>22807304.36</f>
        <v>22807304.359999999</v>
      </c>
      <c r="H49" s="26">
        <f>0</f>
        <v>0</v>
      </c>
      <c r="I49" s="26">
        <f>0</f>
        <v>0</v>
      </c>
      <c r="J49" s="26">
        <f>43014876.91</f>
        <v>43014876.909999996</v>
      </c>
      <c r="K49" s="26">
        <f>0</f>
        <v>0</v>
      </c>
      <c r="L49" s="26">
        <f>166407658.07</f>
        <v>166407658.06999999</v>
      </c>
      <c r="M49" s="26">
        <f>201345056.04</f>
        <v>201345056.03999999</v>
      </c>
      <c r="N49" s="26">
        <f>11838808.16</f>
        <v>11838808.16</v>
      </c>
      <c r="O49" s="15">
        <f>114099.22</f>
        <v>114099.22</v>
      </c>
      <c r="P49" s="15">
        <f>14099.22</f>
        <v>14099.22</v>
      </c>
      <c r="Q49" s="15">
        <f>100000</f>
        <v>100000</v>
      </c>
    </row>
    <row r="50" spans="1:17" ht="24.75" customHeight="1" x14ac:dyDescent="0.2">
      <c r="A50" s="34" t="s">
        <v>43</v>
      </c>
      <c r="B50" s="35">
        <f>38135748605.07</f>
        <v>38135748605.07</v>
      </c>
      <c r="C50" s="35">
        <f>38135748605.07</f>
        <v>38135748605.07</v>
      </c>
      <c r="D50" s="35">
        <f>11095124.14</f>
        <v>11095124.140000001</v>
      </c>
      <c r="E50" s="35">
        <f>2346533.12</f>
        <v>2346533.12</v>
      </c>
      <c r="F50" s="35">
        <f>2780.38</f>
        <v>2780.38</v>
      </c>
      <c r="G50" s="35">
        <f>8745810.64</f>
        <v>8745810.6400000006</v>
      </c>
      <c r="H50" s="35">
        <f>0</f>
        <v>0</v>
      </c>
      <c r="I50" s="35">
        <f>0</f>
        <v>0</v>
      </c>
      <c r="J50" s="35">
        <f>38108278762.71</f>
        <v>38108278762.709999</v>
      </c>
      <c r="K50" s="35">
        <f>5236010.39</f>
        <v>5236010.3899999997</v>
      </c>
      <c r="L50" s="35">
        <f>11008728.14</f>
        <v>11008728.140000001</v>
      </c>
      <c r="M50" s="35">
        <f>129979.69</f>
        <v>129979.69</v>
      </c>
      <c r="N50" s="35">
        <f>0</f>
        <v>0</v>
      </c>
      <c r="O50" s="35">
        <f>0</f>
        <v>0</v>
      </c>
      <c r="P50" s="35">
        <f>0</f>
        <v>0</v>
      </c>
      <c r="Q50" s="35">
        <f>0</f>
        <v>0</v>
      </c>
    </row>
    <row r="51" spans="1:17" ht="24.75" customHeight="1" x14ac:dyDescent="0.2">
      <c r="A51" s="23" t="s">
        <v>33</v>
      </c>
      <c r="B51" s="26">
        <f>8673860.44</f>
        <v>8673860.4399999995</v>
      </c>
      <c r="C51" s="26">
        <f>8673860.44</f>
        <v>8673860.4399999995</v>
      </c>
      <c r="D51" s="26">
        <f>8673860.44</f>
        <v>8673860.4399999995</v>
      </c>
      <c r="E51" s="26">
        <f>0</f>
        <v>0</v>
      </c>
      <c r="F51" s="26">
        <f>0</f>
        <v>0</v>
      </c>
      <c r="G51" s="26">
        <f>8673860.44</f>
        <v>8673860.4399999995</v>
      </c>
      <c r="H51" s="26">
        <f>0</f>
        <v>0</v>
      </c>
      <c r="I51" s="26">
        <f>0</f>
        <v>0</v>
      </c>
      <c r="J51" s="26">
        <f>0</f>
        <v>0</v>
      </c>
      <c r="K51" s="26">
        <f>0</f>
        <v>0</v>
      </c>
      <c r="L51" s="26">
        <f>0</f>
        <v>0</v>
      </c>
      <c r="M51" s="26">
        <f>0</f>
        <v>0</v>
      </c>
      <c r="N51" s="26">
        <f>0</f>
        <v>0</v>
      </c>
      <c r="O51" s="15">
        <f>0</f>
        <v>0</v>
      </c>
      <c r="P51" s="15">
        <f>0</f>
        <v>0</v>
      </c>
      <c r="Q51" s="15">
        <f>0</f>
        <v>0</v>
      </c>
    </row>
    <row r="52" spans="1:17" ht="24.75" customHeight="1" x14ac:dyDescent="0.2">
      <c r="A52" s="23" t="s">
        <v>34</v>
      </c>
      <c r="B52" s="26">
        <f>26302693573.37</f>
        <v>26302693573.369999</v>
      </c>
      <c r="C52" s="26">
        <f>26302693573.37</f>
        <v>26302693573.369999</v>
      </c>
      <c r="D52" s="26">
        <f>18219.43</f>
        <v>18219.43</v>
      </c>
      <c r="E52" s="26">
        <f>7219.43</f>
        <v>7219.43</v>
      </c>
      <c r="F52" s="26">
        <f>500</f>
        <v>500</v>
      </c>
      <c r="G52" s="26">
        <f>10500</f>
        <v>10500</v>
      </c>
      <c r="H52" s="26">
        <f>0</f>
        <v>0</v>
      </c>
      <c r="I52" s="26">
        <f>0</f>
        <v>0</v>
      </c>
      <c r="J52" s="26">
        <f>26291710865.11</f>
        <v>26291710865.110001</v>
      </c>
      <c r="K52" s="26">
        <f>233374.07</f>
        <v>233374.07</v>
      </c>
      <c r="L52" s="26">
        <f>10731114.76</f>
        <v>10731114.76</v>
      </c>
      <c r="M52" s="26">
        <f>0</f>
        <v>0</v>
      </c>
      <c r="N52" s="26">
        <f>0</f>
        <v>0</v>
      </c>
      <c r="O52" s="15">
        <f>0</f>
        <v>0</v>
      </c>
      <c r="P52" s="15">
        <f>0</f>
        <v>0</v>
      </c>
      <c r="Q52" s="15">
        <f>0</f>
        <v>0</v>
      </c>
    </row>
    <row r="53" spans="1:17" ht="24.75" customHeight="1" x14ac:dyDescent="0.2">
      <c r="A53" s="23" t="s">
        <v>35</v>
      </c>
      <c r="B53" s="26">
        <f>11824381171.26</f>
        <v>11824381171.26</v>
      </c>
      <c r="C53" s="26">
        <f>11824381171.26</f>
        <v>11824381171.26</v>
      </c>
      <c r="D53" s="26">
        <f>2403044.27</f>
        <v>2403044.27</v>
      </c>
      <c r="E53" s="26">
        <f>2339313.69</f>
        <v>2339313.69</v>
      </c>
      <c r="F53" s="26">
        <f>2280.38</f>
        <v>2280.38</v>
      </c>
      <c r="G53" s="26">
        <f>61450.2</f>
        <v>61450.2</v>
      </c>
      <c r="H53" s="26">
        <f>0</f>
        <v>0</v>
      </c>
      <c r="I53" s="26">
        <f>0</f>
        <v>0</v>
      </c>
      <c r="J53" s="26">
        <f>11816567897.6</f>
        <v>11816567897.6</v>
      </c>
      <c r="K53" s="26">
        <f>5002636.32</f>
        <v>5002636.32</v>
      </c>
      <c r="L53" s="26">
        <f>277613.38</f>
        <v>277613.38</v>
      </c>
      <c r="M53" s="26">
        <f>129979.69</f>
        <v>129979.69</v>
      </c>
      <c r="N53" s="26">
        <f>0</f>
        <v>0</v>
      </c>
      <c r="O53" s="15">
        <f>0</f>
        <v>0</v>
      </c>
      <c r="P53" s="15">
        <f>0</f>
        <v>0</v>
      </c>
      <c r="Q53" s="15">
        <f>0</f>
        <v>0</v>
      </c>
    </row>
    <row r="54" spans="1:17" ht="24.75" customHeight="1" x14ac:dyDescent="0.2">
      <c r="A54" s="34" t="s">
        <v>44</v>
      </c>
      <c r="B54" s="35">
        <f>10834444884.65</f>
        <v>10834444884.65</v>
      </c>
      <c r="C54" s="35">
        <f>10805123634.59</f>
        <v>10805123634.59</v>
      </c>
      <c r="D54" s="35">
        <f>95422295.29</f>
        <v>95422295.290000007</v>
      </c>
      <c r="E54" s="35">
        <f>55462197.73</f>
        <v>55462197.729999997</v>
      </c>
      <c r="F54" s="35">
        <f>5378312.46</f>
        <v>5378312.46</v>
      </c>
      <c r="G54" s="35">
        <f>33495320.76</f>
        <v>33495320.760000002</v>
      </c>
      <c r="H54" s="35">
        <f>1086464.34</f>
        <v>1086464.3400000001</v>
      </c>
      <c r="I54" s="35">
        <f>0</f>
        <v>0</v>
      </c>
      <c r="J54" s="35">
        <f>3589216.51</f>
        <v>3589216.51</v>
      </c>
      <c r="K54" s="35">
        <f>11230819</f>
        <v>11230819</v>
      </c>
      <c r="L54" s="35">
        <f>2373515857.46</f>
        <v>2373515857.46</v>
      </c>
      <c r="M54" s="35">
        <f>8254666206.35</f>
        <v>8254666206.3500004</v>
      </c>
      <c r="N54" s="35">
        <f>66699239.98</f>
        <v>66699239.979999997</v>
      </c>
      <c r="O54" s="35">
        <f>29321250.06</f>
        <v>29321250.059999999</v>
      </c>
      <c r="P54" s="35">
        <f>20108145.95</f>
        <v>20108145.949999999</v>
      </c>
      <c r="Q54" s="35">
        <f>9213104.11</f>
        <v>9213104.1099999994</v>
      </c>
    </row>
    <row r="55" spans="1:17" ht="24.75" customHeight="1" x14ac:dyDescent="0.2">
      <c r="A55" s="22" t="s">
        <v>36</v>
      </c>
      <c r="B55" s="26">
        <f>1484877023.97</f>
        <v>1484877023.97</v>
      </c>
      <c r="C55" s="26">
        <f>1484086482.7</f>
        <v>1484086482.7</v>
      </c>
      <c r="D55" s="26">
        <f>6298556.75</f>
        <v>6298556.75</v>
      </c>
      <c r="E55" s="26">
        <f>572968.47</f>
        <v>572968.47</v>
      </c>
      <c r="F55" s="26">
        <f>111511.33</f>
        <v>111511.33</v>
      </c>
      <c r="G55" s="26">
        <f>5208473.37</f>
        <v>5208473.37</v>
      </c>
      <c r="H55" s="26">
        <f>405603.58</f>
        <v>405603.58</v>
      </c>
      <c r="I55" s="26">
        <f>0</f>
        <v>0</v>
      </c>
      <c r="J55" s="26">
        <f>14569.12</f>
        <v>14569.12</v>
      </c>
      <c r="K55" s="26">
        <f>648328.67</f>
        <v>648328.67000000004</v>
      </c>
      <c r="L55" s="26">
        <f>312692132.63</f>
        <v>312692132.63</v>
      </c>
      <c r="M55" s="26">
        <f>1133385110.65</f>
        <v>1133385110.6500001</v>
      </c>
      <c r="N55" s="26">
        <f>31047784.88</f>
        <v>31047784.879999999</v>
      </c>
      <c r="O55" s="15">
        <f>790541.27</f>
        <v>790541.27</v>
      </c>
      <c r="P55" s="15">
        <f>397860.05</f>
        <v>397860.05</v>
      </c>
      <c r="Q55" s="15">
        <f>392681.22</f>
        <v>392681.22</v>
      </c>
    </row>
    <row r="56" spans="1:17" ht="24.75" customHeight="1" x14ac:dyDescent="0.2">
      <c r="A56" s="23" t="s">
        <v>37</v>
      </c>
      <c r="B56" s="26">
        <f>9349567860.68</f>
        <v>9349567860.6800003</v>
      </c>
      <c r="C56" s="26">
        <f>9321037151.89</f>
        <v>9321037151.8899994</v>
      </c>
      <c r="D56" s="26">
        <f>89123738.54</f>
        <v>89123738.540000007</v>
      </c>
      <c r="E56" s="26">
        <f>54889229.26</f>
        <v>54889229.259999998</v>
      </c>
      <c r="F56" s="26">
        <f>5266801.13</f>
        <v>5266801.13</v>
      </c>
      <c r="G56" s="26">
        <f>28286847.39</f>
        <v>28286847.390000001</v>
      </c>
      <c r="H56" s="26">
        <f>680860.76</f>
        <v>680860.76</v>
      </c>
      <c r="I56" s="26">
        <f>0</f>
        <v>0</v>
      </c>
      <c r="J56" s="26">
        <f>3574647.39</f>
        <v>3574647.39</v>
      </c>
      <c r="K56" s="26">
        <f>10582490.33</f>
        <v>10582490.33</v>
      </c>
      <c r="L56" s="26">
        <f>2060823724.83</f>
        <v>2060823724.8299999</v>
      </c>
      <c r="M56" s="26">
        <f>7121281095.7</f>
        <v>7121281095.6999998</v>
      </c>
      <c r="N56" s="26">
        <f>35651455.1</f>
        <v>35651455.100000001</v>
      </c>
      <c r="O56" s="15">
        <f>28530708.79</f>
        <v>28530708.789999999</v>
      </c>
      <c r="P56" s="15">
        <f>19710285.9</f>
        <v>19710285.899999999</v>
      </c>
      <c r="Q56" s="15">
        <f>8820422.89</f>
        <v>8820422.8900000006</v>
      </c>
    </row>
    <row r="57" spans="1:17" ht="24.75" customHeight="1" x14ac:dyDescent="0.2">
      <c r="A57" s="34" t="s">
        <v>45</v>
      </c>
      <c r="B57" s="35">
        <f>10434501311.57</f>
        <v>10434501311.57</v>
      </c>
      <c r="C57" s="35">
        <f>10433166720.93</f>
        <v>10433166720.93</v>
      </c>
      <c r="D57" s="35">
        <f>691719707.73</f>
        <v>691719707.73000002</v>
      </c>
      <c r="E57" s="35">
        <f>395232695.54</f>
        <v>395232695.54000002</v>
      </c>
      <c r="F57" s="35">
        <f>33692605.74</f>
        <v>33692605.740000002</v>
      </c>
      <c r="G57" s="35">
        <f>251229486.19</f>
        <v>251229486.19</v>
      </c>
      <c r="H57" s="35">
        <f>11564920.26</f>
        <v>11564920.26</v>
      </c>
      <c r="I57" s="35">
        <f>129104</f>
        <v>129104</v>
      </c>
      <c r="J57" s="35">
        <f>8606531.46</f>
        <v>8606531.4600000009</v>
      </c>
      <c r="K57" s="35">
        <f>25407827.75</f>
        <v>25407827.75</v>
      </c>
      <c r="L57" s="35">
        <f>5579556691.81</f>
        <v>5579556691.8100004</v>
      </c>
      <c r="M57" s="35">
        <f>3967934496.58</f>
        <v>3967934496.5799999</v>
      </c>
      <c r="N57" s="35">
        <f>159812361.6</f>
        <v>159812361.59999999</v>
      </c>
      <c r="O57" s="35">
        <f>1334590.64</f>
        <v>1334590.6399999999</v>
      </c>
      <c r="P57" s="35">
        <f>912062.08</f>
        <v>912062.08</v>
      </c>
      <c r="Q57" s="35">
        <f>422528.56</f>
        <v>422528.56</v>
      </c>
    </row>
    <row r="58" spans="1:17" ht="30" customHeight="1" x14ac:dyDescent="0.2">
      <c r="A58" s="22" t="s">
        <v>38</v>
      </c>
      <c r="B58" s="26">
        <f>860759993.46</f>
        <v>860759993.46000004</v>
      </c>
      <c r="C58" s="26">
        <f>860346857.65</f>
        <v>860346857.64999998</v>
      </c>
      <c r="D58" s="26">
        <f>55062474.46</f>
        <v>55062474.460000001</v>
      </c>
      <c r="E58" s="26">
        <f>4605358.05</f>
        <v>4605358.05</v>
      </c>
      <c r="F58" s="26">
        <f>1040154.6</f>
        <v>1040154.6</v>
      </c>
      <c r="G58" s="26">
        <f>45908815.48</f>
        <v>45908815.479999997</v>
      </c>
      <c r="H58" s="26">
        <f>3508146.33</f>
        <v>3508146.33</v>
      </c>
      <c r="I58" s="26">
        <f>0</f>
        <v>0</v>
      </c>
      <c r="J58" s="26">
        <f>328085.36</f>
        <v>328085.36</v>
      </c>
      <c r="K58" s="26">
        <f>1369628.02</f>
        <v>1369628.02</v>
      </c>
      <c r="L58" s="26">
        <f>314829818.28</f>
        <v>314829818.27999997</v>
      </c>
      <c r="M58" s="26">
        <f>469640351.05</f>
        <v>469640351.05000001</v>
      </c>
      <c r="N58" s="26">
        <f>19116500.48</f>
        <v>19116500.48</v>
      </c>
      <c r="O58" s="15">
        <f>413135.81</f>
        <v>413135.81</v>
      </c>
      <c r="P58" s="15">
        <f>182482.12</f>
        <v>182482.12</v>
      </c>
      <c r="Q58" s="15">
        <f>230653.69</f>
        <v>230653.69</v>
      </c>
    </row>
    <row r="59" spans="1:17" ht="36" x14ac:dyDescent="0.2">
      <c r="A59" s="22" t="s">
        <v>39</v>
      </c>
      <c r="B59" s="26">
        <f>5651540052.82</f>
        <v>5651540052.8199997</v>
      </c>
      <c r="C59" s="26">
        <f>5650684119.27</f>
        <v>5650684119.2700005</v>
      </c>
      <c r="D59" s="26">
        <f>205589245.37</f>
        <v>205589245.37</v>
      </c>
      <c r="E59" s="26">
        <f>122730995.9</f>
        <v>122730995.90000001</v>
      </c>
      <c r="F59" s="26">
        <f>17716010.06</f>
        <v>17716010.059999999</v>
      </c>
      <c r="G59" s="26">
        <f>63371315.14</f>
        <v>63371315.140000001</v>
      </c>
      <c r="H59" s="26">
        <f>1770924.27</f>
        <v>1770924.27</v>
      </c>
      <c r="I59" s="26">
        <f>129104</f>
        <v>129104</v>
      </c>
      <c r="J59" s="26">
        <f>4909099.61</f>
        <v>4909099.6100000003</v>
      </c>
      <c r="K59" s="26">
        <f>11856510.62</f>
        <v>11856510.619999999</v>
      </c>
      <c r="L59" s="26">
        <f>3657887492.84</f>
        <v>3657887492.8400002</v>
      </c>
      <c r="M59" s="26">
        <f>1737467542.7</f>
        <v>1737467542.7</v>
      </c>
      <c r="N59" s="26">
        <f>32845124.13</f>
        <v>32845124.129999999</v>
      </c>
      <c r="O59" s="15">
        <f>855933.55</f>
        <v>855933.55</v>
      </c>
      <c r="P59" s="15">
        <f>680650.11</f>
        <v>680650.11</v>
      </c>
      <c r="Q59" s="15">
        <f>175283.44</f>
        <v>175283.44</v>
      </c>
    </row>
    <row r="60" spans="1:17" ht="30.75" customHeight="1" x14ac:dyDescent="0.2">
      <c r="A60" s="22" t="s">
        <v>40</v>
      </c>
      <c r="B60" s="26">
        <f>3922201265.29</f>
        <v>3922201265.29</v>
      </c>
      <c r="C60" s="26">
        <f>3922135744.01</f>
        <v>3922135744.0100002</v>
      </c>
      <c r="D60" s="26">
        <f>431067987.9</f>
        <v>431067987.89999998</v>
      </c>
      <c r="E60" s="26">
        <f>267896341.59</f>
        <v>267896341.59</v>
      </c>
      <c r="F60" s="26">
        <f>14936441.08</f>
        <v>14936441.08</v>
      </c>
      <c r="G60" s="26">
        <f>141949355.57</f>
        <v>141949355.56999999</v>
      </c>
      <c r="H60" s="26">
        <f>6285849.66</f>
        <v>6285849.6600000001</v>
      </c>
      <c r="I60" s="26">
        <f>0</f>
        <v>0</v>
      </c>
      <c r="J60" s="26">
        <f>3369346.49</f>
        <v>3369346.49</v>
      </c>
      <c r="K60" s="26">
        <f>12181689.11</f>
        <v>12181689.109999999</v>
      </c>
      <c r="L60" s="26">
        <f>1606839380.69</f>
        <v>1606839380.6900001</v>
      </c>
      <c r="M60" s="26">
        <f>1760826602.83</f>
        <v>1760826602.8299999</v>
      </c>
      <c r="N60" s="26">
        <f>107850736.99</f>
        <v>107850736.98999999</v>
      </c>
      <c r="O60" s="15">
        <f>65521.28</f>
        <v>65521.279999999999</v>
      </c>
      <c r="P60" s="15">
        <f>48929.85</f>
        <v>48929.85</v>
      </c>
      <c r="Q60" s="15">
        <f>16591.43</f>
        <v>16591.43</v>
      </c>
    </row>
    <row r="77" spans="1:13" ht="75" customHeight="1" x14ac:dyDescent="0.2">
      <c r="A77" s="40" t="str">
        <f>CONCATENATE("Informacja z wykonania budżetów gmin za ",$C$104," ",$B$105," roku   ",$B$107,"")</f>
        <v xml:space="preserve">Informacja z wykonania budżetów gmin za III Kwartały 2025 roku   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</row>
    <row r="78" spans="1:13" ht="13.5" customHeight="1" x14ac:dyDescent="0.2">
      <c r="B78" s="80" t="s">
        <v>2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</row>
    <row r="80" spans="1:13" ht="13.5" customHeight="1" x14ac:dyDescent="0.2">
      <c r="B80" s="46" t="s">
        <v>0</v>
      </c>
      <c r="C80" s="47"/>
      <c r="D80" s="47"/>
      <c r="E80" s="48"/>
      <c r="F80" s="58" t="s">
        <v>72</v>
      </c>
      <c r="G80" s="62" t="s">
        <v>78</v>
      </c>
      <c r="H80" s="70"/>
      <c r="I80" s="70"/>
      <c r="J80" s="70"/>
      <c r="K80" s="70"/>
      <c r="L80" s="71"/>
    </row>
    <row r="81" spans="1:13" ht="13.5" customHeight="1" x14ac:dyDescent="0.2">
      <c r="B81" s="49"/>
      <c r="C81" s="50"/>
      <c r="D81" s="50"/>
      <c r="E81" s="51"/>
      <c r="F81" s="59"/>
      <c r="G81" s="61" t="s">
        <v>73</v>
      </c>
      <c r="H81" s="45" t="s">
        <v>70</v>
      </c>
      <c r="I81" s="45" t="s">
        <v>71</v>
      </c>
      <c r="J81" s="45" t="s">
        <v>74</v>
      </c>
      <c r="K81" s="45" t="s">
        <v>75</v>
      </c>
      <c r="L81" s="65" t="s">
        <v>76</v>
      </c>
    </row>
    <row r="82" spans="1:13" ht="13.5" customHeight="1" x14ac:dyDescent="0.2">
      <c r="B82" s="49"/>
      <c r="C82" s="50"/>
      <c r="D82" s="50"/>
      <c r="E82" s="51"/>
      <c r="F82" s="59"/>
      <c r="G82" s="61"/>
      <c r="H82" s="45"/>
      <c r="I82" s="45"/>
      <c r="J82" s="45"/>
      <c r="K82" s="45"/>
      <c r="L82" s="65"/>
    </row>
    <row r="83" spans="1:13" ht="11.25" customHeight="1" x14ac:dyDescent="0.2">
      <c r="B83" s="49"/>
      <c r="C83" s="50"/>
      <c r="D83" s="50"/>
      <c r="E83" s="51"/>
      <c r="F83" s="59"/>
      <c r="G83" s="61"/>
      <c r="H83" s="45"/>
      <c r="I83" s="45"/>
      <c r="J83" s="45"/>
      <c r="K83" s="45"/>
      <c r="L83" s="65"/>
    </row>
    <row r="84" spans="1:13" ht="11.25" customHeight="1" x14ac:dyDescent="0.2">
      <c r="B84" s="52"/>
      <c r="C84" s="53"/>
      <c r="D84" s="53"/>
      <c r="E84" s="54"/>
      <c r="F84" s="60"/>
      <c r="G84" s="61"/>
      <c r="H84" s="45"/>
      <c r="I84" s="45"/>
      <c r="J84" s="45"/>
      <c r="K84" s="45"/>
      <c r="L84" s="65"/>
    </row>
    <row r="85" spans="1:13" ht="11.25" customHeight="1" x14ac:dyDescent="0.2">
      <c r="B85" s="45">
        <v>1</v>
      </c>
      <c r="C85" s="45"/>
      <c r="D85" s="45"/>
      <c r="E85" s="45"/>
      <c r="F85" s="3">
        <v>2</v>
      </c>
      <c r="G85" s="3">
        <v>3</v>
      </c>
      <c r="H85" s="3">
        <v>4</v>
      </c>
      <c r="I85" s="3">
        <v>5</v>
      </c>
      <c r="J85" s="3">
        <v>6</v>
      </c>
      <c r="K85" s="3">
        <v>7</v>
      </c>
      <c r="L85" s="13">
        <v>8</v>
      </c>
    </row>
    <row r="86" spans="1:13" ht="13.5" customHeight="1" x14ac:dyDescent="0.2">
      <c r="B86" s="45"/>
      <c r="C86" s="45"/>
      <c r="D86" s="45"/>
      <c r="E86" s="45"/>
      <c r="F86" s="62" t="s">
        <v>80</v>
      </c>
      <c r="G86" s="63"/>
      <c r="H86" s="63"/>
      <c r="I86" s="63"/>
      <c r="J86" s="63"/>
      <c r="K86" s="63"/>
      <c r="L86" s="64"/>
    </row>
    <row r="87" spans="1:13" ht="33.75" customHeight="1" x14ac:dyDescent="0.2">
      <c r="B87" s="55" t="s">
        <v>57</v>
      </c>
      <c r="C87" s="56"/>
      <c r="D87" s="56"/>
      <c r="E87" s="57"/>
      <c r="F87" s="33">
        <f>1082919100.55</f>
        <v>1082919100.55</v>
      </c>
      <c r="G87" s="33">
        <f>386983082.77</f>
        <v>386983082.76999998</v>
      </c>
      <c r="H87" s="33">
        <f>16552858.23</f>
        <v>16552858.23</v>
      </c>
      <c r="I87" s="33">
        <f>123831876.88</f>
        <v>123831876.88</v>
      </c>
      <c r="J87" s="33">
        <f>228883009.7</f>
        <v>228883009.69999999</v>
      </c>
      <c r="K87" s="33">
        <f>17715337.96</f>
        <v>17715337.960000001</v>
      </c>
      <c r="L87" s="33">
        <f>695936017.78</f>
        <v>695936017.77999997</v>
      </c>
    </row>
    <row r="88" spans="1:13" ht="33.75" customHeight="1" x14ac:dyDescent="0.2">
      <c r="B88" s="55" t="s">
        <v>58</v>
      </c>
      <c r="C88" s="56"/>
      <c r="D88" s="56"/>
      <c r="E88" s="57"/>
      <c r="F88" s="33">
        <f>16210877.24</f>
        <v>16210877.24</v>
      </c>
      <c r="G88" s="33">
        <f>5261929.62</f>
        <v>5261929.62</v>
      </c>
      <c r="H88" s="33">
        <f>489495</f>
        <v>489495</v>
      </c>
      <c r="I88" s="33">
        <f>4772434.62</f>
        <v>4772434.62</v>
      </c>
      <c r="J88" s="33">
        <f>0</f>
        <v>0</v>
      </c>
      <c r="K88" s="33">
        <f>0</f>
        <v>0</v>
      </c>
      <c r="L88" s="33">
        <f>10948947.62</f>
        <v>10948947.619999999</v>
      </c>
    </row>
    <row r="89" spans="1:13" ht="33.75" customHeight="1" x14ac:dyDescent="0.2">
      <c r="B89" s="55" t="s">
        <v>59</v>
      </c>
      <c r="C89" s="56"/>
      <c r="D89" s="56"/>
      <c r="E89" s="57"/>
      <c r="F89" s="33">
        <f>94084736.45</f>
        <v>94084736.450000003</v>
      </c>
      <c r="G89" s="33">
        <f>46940668.27</f>
        <v>46940668.270000003</v>
      </c>
      <c r="H89" s="33">
        <f>0</f>
        <v>0</v>
      </c>
      <c r="I89" s="33">
        <f>6945985.48</f>
        <v>6945985.4800000004</v>
      </c>
      <c r="J89" s="33">
        <f>39885096.75</f>
        <v>39885096.75</v>
      </c>
      <c r="K89" s="33">
        <f>109586.04</f>
        <v>109586.04</v>
      </c>
      <c r="L89" s="33">
        <f>47144068.18</f>
        <v>47144068.18</v>
      </c>
    </row>
    <row r="90" spans="1:13" ht="22.5" customHeight="1" x14ac:dyDescent="0.2">
      <c r="B90" s="55" t="s">
        <v>60</v>
      </c>
      <c r="C90" s="56"/>
      <c r="D90" s="56"/>
      <c r="E90" s="57"/>
      <c r="F90" s="33">
        <f>5638510.69</f>
        <v>5638510.6900000004</v>
      </c>
      <c r="G90" s="33">
        <f>0</f>
        <v>0</v>
      </c>
      <c r="H90" s="33">
        <f>0</f>
        <v>0</v>
      </c>
      <c r="I90" s="33">
        <f>0</f>
        <v>0</v>
      </c>
      <c r="J90" s="33">
        <f>0</f>
        <v>0</v>
      </c>
      <c r="K90" s="33">
        <f>0</f>
        <v>0</v>
      </c>
      <c r="L90" s="33">
        <f>5638510.69</f>
        <v>5638510.6900000004</v>
      </c>
    </row>
    <row r="91" spans="1:13" ht="33.75" customHeight="1" x14ac:dyDescent="0.2">
      <c r="B91" s="55" t="s">
        <v>61</v>
      </c>
      <c r="C91" s="56"/>
      <c r="D91" s="56"/>
      <c r="E91" s="57"/>
      <c r="F91" s="33">
        <f>29885.53</f>
        <v>29885.53</v>
      </c>
      <c r="G91" s="33">
        <f>0</f>
        <v>0</v>
      </c>
      <c r="H91" s="33">
        <f>0</f>
        <v>0</v>
      </c>
      <c r="I91" s="33">
        <f>0</f>
        <v>0</v>
      </c>
      <c r="J91" s="33">
        <f>0</f>
        <v>0</v>
      </c>
      <c r="K91" s="33">
        <f>0</f>
        <v>0</v>
      </c>
      <c r="L91" s="33">
        <f>29885.53</f>
        <v>29885.53</v>
      </c>
    </row>
    <row r="92" spans="1:13" ht="33.75" customHeight="1" x14ac:dyDescent="0.2">
      <c r="B92" s="55" t="s">
        <v>62</v>
      </c>
      <c r="C92" s="56"/>
      <c r="D92" s="56"/>
      <c r="E92" s="57"/>
      <c r="F92" s="33">
        <f>1275242.25</f>
        <v>1275242.25</v>
      </c>
      <c r="G92" s="33">
        <f>30000</f>
        <v>30000</v>
      </c>
      <c r="H92" s="33">
        <f>0</f>
        <v>0</v>
      </c>
      <c r="I92" s="33">
        <f>30000</f>
        <v>30000</v>
      </c>
      <c r="J92" s="33">
        <f>0</f>
        <v>0</v>
      </c>
      <c r="K92" s="33">
        <f>0</f>
        <v>0</v>
      </c>
      <c r="L92" s="33">
        <f>1245242.25</f>
        <v>1245242.25</v>
      </c>
    </row>
    <row r="93" spans="1:13" ht="22.5" customHeight="1" x14ac:dyDescent="0.2">
      <c r="B93" s="55" t="s">
        <v>63</v>
      </c>
      <c r="C93" s="56"/>
      <c r="D93" s="56"/>
      <c r="E93" s="57"/>
      <c r="F93" s="33">
        <f>70000</f>
        <v>70000</v>
      </c>
      <c r="G93" s="33">
        <f>0</f>
        <v>0</v>
      </c>
      <c r="H93" s="33">
        <f>0</f>
        <v>0</v>
      </c>
      <c r="I93" s="33">
        <f>0</f>
        <v>0</v>
      </c>
      <c r="J93" s="33">
        <f>0</f>
        <v>0</v>
      </c>
      <c r="K93" s="33">
        <f>0</f>
        <v>0</v>
      </c>
      <c r="L93" s="33">
        <f>70000</f>
        <v>70000</v>
      </c>
    </row>
    <row r="96" spans="1:13" ht="75" customHeight="1" x14ac:dyDescent="0.2">
      <c r="A96" s="40" t="str">
        <f>CONCATENATE("Informacja z wykonania budżetów gmin za ",$C$104," ",$B$105," roku   ",$B$107,"")</f>
        <v xml:space="preserve">Informacja z wykonania budżetów gmin za III Kwartały 2025 roku   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</row>
    <row r="97" spans="1:11" ht="13.5" customHeight="1" x14ac:dyDescent="0.2">
      <c r="B97" s="4"/>
    </row>
    <row r="98" spans="1:11" ht="13.5" customHeight="1" x14ac:dyDescent="0.2">
      <c r="B98" s="5"/>
      <c r="C98" s="62"/>
      <c r="D98" s="70"/>
      <c r="E98" s="70"/>
      <c r="F98" s="71"/>
      <c r="G98" s="62" t="s">
        <v>3</v>
      </c>
      <c r="H98" s="71"/>
      <c r="I98" s="62" t="s">
        <v>4</v>
      </c>
      <c r="J98" s="71"/>
      <c r="K98" s="5"/>
    </row>
    <row r="99" spans="1:11" ht="13.5" customHeight="1" x14ac:dyDescent="0.2">
      <c r="B99" s="6"/>
      <c r="C99" s="72" t="s">
        <v>5</v>
      </c>
      <c r="D99" s="73"/>
      <c r="E99" s="73"/>
      <c r="F99" s="74"/>
      <c r="G99" s="66">
        <f>2225</f>
        <v>2225</v>
      </c>
      <c r="H99" s="67"/>
      <c r="I99" s="68">
        <f>20321676979.97</f>
        <v>20321676979.970001</v>
      </c>
      <c r="J99" s="69"/>
      <c r="K99" s="7"/>
    </row>
    <row r="100" spans="1:11" ht="13.5" customHeight="1" x14ac:dyDescent="0.2">
      <c r="B100" s="6"/>
      <c r="C100" s="55" t="s">
        <v>6</v>
      </c>
      <c r="D100" s="56"/>
      <c r="E100" s="56"/>
      <c r="F100" s="57"/>
      <c r="G100" s="75">
        <f>188</f>
        <v>188</v>
      </c>
      <c r="H100" s="76"/>
      <c r="I100" s="77">
        <f>-667443289.99</f>
        <v>-667443289.99000001</v>
      </c>
      <c r="J100" s="78"/>
      <c r="K100" s="7"/>
    </row>
    <row r="101" spans="1:11" ht="13.5" customHeight="1" x14ac:dyDescent="0.2">
      <c r="B101" s="6"/>
      <c r="C101" s="72" t="s">
        <v>7</v>
      </c>
      <c r="D101" s="73"/>
      <c r="E101" s="73"/>
      <c r="F101" s="74"/>
      <c r="G101" s="66">
        <f>0</f>
        <v>0</v>
      </c>
      <c r="H101" s="67"/>
      <c r="I101" s="68">
        <f>0</f>
        <v>0</v>
      </c>
      <c r="J101" s="69"/>
      <c r="K101" s="7"/>
    </row>
    <row r="104" spans="1:11" ht="13.5" customHeight="1" x14ac:dyDescent="0.2">
      <c r="A104" s="8" t="s">
        <v>8</v>
      </c>
      <c r="B104" s="8">
        <f>3</f>
        <v>3</v>
      </c>
      <c r="C104" s="8" t="str">
        <f>IF(B104=1,"I Kwartał",IF(B104=2,"II Kwartały",IF(B104=3,"III Kwartały",IF(B104=4,"IV Kwartały","-"))))</f>
        <v>III Kwartały</v>
      </c>
    </row>
    <row r="105" spans="1:11" ht="13.5" customHeight="1" x14ac:dyDescent="0.2">
      <c r="A105" s="8" t="s">
        <v>9</v>
      </c>
      <c r="B105" s="8">
        <f>2025</f>
        <v>2025</v>
      </c>
      <c r="C105" s="9"/>
    </row>
    <row r="106" spans="1:11" ht="13.5" customHeight="1" x14ac:dyDescent="0.2">
      <c r="A106" s="8" t="s">
        <v>10</v>
      </c>
      <c r="B106" s="10" t="str">
        <f>"Nov 14 2025 12:00AM"</f>
        <v>Nov 14 2025 12:00AM</v>
      </c>
      <c r="C106" s="9"/>
    </row>
    <row r="107" spans="1:11" ht="13.5" customHeight="1" x14ac:dyDescent="0.2">
      <c r="A107" s="16" t="s">
        <v>79</v>
      </c>
      <c r="B107" s="10" t="str">
        <f>""</f>
        <v/>
      </c>
    </row>
  </sheetData>
  <mergeCells count="79">
    <mergeCell ref="B38:B41"/>
    <mergeCell ref="N39:N41"/>
    <mergeCell ref="O39:O41"/>
    <mergeCell ref="H81:H84"/>
    <mergeCell ref="I81:I84"/>
    <mergeCell ref="J81:J84"/>
    <mergeCell ref="B78:M78"/>
    <mergeCell ref="D39:D41"/>
    <mergeCell ref="M39:M41"/>
    <mergeCell ref="B43:Q43"/>
    <mergeCell ref="C39:C41"/>
    <mergeCell ref="E39:E41"/>
    <mergeCell ref="K81:K84"/>
    <mergeCell ref="F39:F41"/>
    <mergeCell ref="G39:G41"/>
    <mergeCell ref="H39:H41"/>
    <mergeCell ref="K39:K41"/>
    <mergeCell ref="I39:I41"/>
    <mergeCell ref="J39:J41"/>
    <mergeCell ref="A1:M1"/>
    <mergeCell ref="C5:M5"/>
    <mergeCell ref="A3:M3"/>
    <mergeCell ref="K7:K10"/>
    <mergeCell ref="C7:C10"/>
    <mergeCell ref="H7:H10"/>
    <mergeCell ref="I7:I10"/>
    <mergeCell ref="J7:J10"/>
    <mergeCell ref="L7:L10"/>
    <mergeCell ref="M7:M10"/>
    <mergeCell ref="B6:B10"/>
    <mergeCell ref="A6:A10"/>
    <mergeCell ref="C6:N6"/>
    <mergeCell ref="D7:D10"/>
    <mergeCell ref="E7:E10"/>
    <mergeCell ref="G7:G10"/>
    <mergeCell ref="G101:H101"/>
    <mergeCell ref="I101:J101"/>
    <mergeCell ref="C98:F98"/>
    <mergeCell ref="C99:F99"/>
    <mergeCell ref="C100:F100"/>
    <mergeCell ref="C101:F101"/>
    <mergeCell ref="G99:H99"/>
    <mergeCell ref="G98:H98"/>
    <mergeCell ref="G100:H100"/>
    <mergeCell ref="I100:J100"/>
    <mergeCell ref="I99:J99"/>
    <mergeCell ref="I98:J98"/>
    <mergeCell ref="B86:E86"/>
    <mergeCell ref="B80:E84"/>
    <mergeCell ref="B93:E93"/>
    <mergeCell ref="A96:M96"/>
    <mergeCell ref="B89:E89"/>
    <mergeCell ref="B90:E90"/>
    <mergeCell ref="B91:E91"/>
    <mergeCell ref="B92:E92"/>
    <mergeCell ref="B88:E88"/>
    <mergeCell ref="B87:E87"/>
    <mergeCell ref="F80:F84"/>
    <mergeCell ref="G81:G84"/>
    <mergeCell ref="B85:E85"/>
    <mergeCell ref="F86:L86"/>
    <mergeCell ref="L81:L84"/>
    <mergeCell ref="G80:L80"/>
    <mergeCell ref="O6:Q6"/>
    <mergeCell ref="O7:O10"/>
    <mergeCell ref="A77:M77"/>
    <mergeCell ref="L39:L41"/>
    <mergeCell ref="P39:P41"/>
    <mergeCell ref="Q39:Q41"/>
    <mergeCell ref="Q7:Q10"/>
    <mergeCell ref="C38:N38"/>
    <mergeCell ref="N7:N10"/>
    <mergeCell ref="P7:P10"/>
    <mergeCell ref="A34:M34"/>
    <mergeCell ref="O38:Q38"/>
    <mergeCell ref="A36:M36"/>
    <mergeCell ref="F7:F10"/>
    <mergeCell ref="B12:Q12"/>
    <mergeCell ref="A38:A41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33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2016-08-26T11:23:29Z</cp:lastPrinted>
  <dcterms:created xsi:type="dcterms:W3CDTF">2001-05-17T08:58:03Z</dcterms:created>
  <dcterms:modified xsi:type="dcterms:W3CDTF">2025-11-20T08:22:19Z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2025-11-19T09:58:31.0663952+01:00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GRN-8399fce2-b6fe-4540-9966-5cdb393c9b9d</vt:lpwstr>
  </property>
  <property fmtid="{D5CDD505-2E9C-101B-9397-08002B2CF9AE}" pid="7" name="MFHash">
    <vt:lpwstr>nJajqOC8mRxNML5vnpDbKGRPJt+1qhF7e2KZ8mn5Mp0=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