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'doch_wyd'!$B$1:$L$102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<sst xmlns="http://schemas.openxmlformats.org/spreadsheetml/2006/main" count="121" uniqueCount="98">
  <si>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</si>
  <si>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</si>
  <si>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</si>
  <si>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</si>
  <si>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</si>
  <si>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</si>
  <si>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</si>
  <si>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</si>
  <si>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</si>
  <si>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</si>
  <si>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</si>
  <si>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</si>
  <si>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</si>
  <si>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</si>
  <si>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</si>
  <si>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</si>
  <si>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</si>
  <si>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</si>
  <si>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</si>
  <si>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</si>
  <si>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</si>
  <si>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</si>
  <si>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</si>
  <si>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</si>
  <si>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</si>
  <si>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</si>
  <si>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</si>
  <si>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</si>
  <si>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</si>
  <si>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</si>
  <si>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</si>
  <si>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</si>
  <si>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</si>
  <si>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</si>
  <si>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</si>
  <si>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</si>
  <si>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</si>
  <si>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</si>
  <si>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</si>
  <si>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</si>
  <si>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</si>
  <si>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</si>
  <si>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</si>
  <si>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</si>
  <si>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</si>
  <si>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</si>
  <si>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</si>
  <si>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</si>
  <si>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</si>
  <si>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</si>
  <si>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</si>
  <si>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</si>
  <si>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</si>
  <si>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</si>
  <si>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</si>
  <si>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</si>
  <si>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</si>
  <si>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</si>
  <si>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</si>
  <si>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</si>
  <si>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</si>
  <si>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</si>
  <si>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</si>
  <si>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</si>
  <si>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</si>
  <si>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</si>
  <si>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</si>
  <si>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</si>
  <si>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</si>
  <si>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</si>
  <si>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</si>
  <si>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</si>
  <si>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</si>
  <si>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</si>
  <si>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</si>
  <si>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</si>
  <si>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</si>
  <si>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</si>
  <si>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</si>
  <si>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</si>
  <si>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</si>
  <si>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</si>
  <si>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</si>
  <si>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</si>
  <si>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</si>
  <si>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</si>
  <si>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</si>
  <si>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</si>
  <si>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</si>
  <si>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</si>
  <si>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</si>
  <si>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</si>
  <si>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</si>
  <si>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</si>
  <si>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</si>
  <si>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</si>
  <si>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</si>
  <si>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Informacja z wykonania budżetów powiatów za II Kwartały 2018 rok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</si>
</sst>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vertAlign val="subscript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5" fillId="42" borderId="3" applyNumberFormat="0" applyAlignment="0" applyProtection="0"/>
    <xf numFmtId="0" fontId="46" fillId="43" borderId="4" applyNumberFormat="0" applyAlignment="0" applyProtection="0"/>
    <xf numFmtId="0" fontId="4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8" fillId="0" borderId="8" applyNumberFormat="0" applyFill="0" applyAlignment="0" applyProtection="0"/>
    <xf numFmtId="0" fontId="49" fillId="46" borderId="9" applyNumberFormat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3" fillId="47" borderId="0" applyNumberFormat="0" applyBorder="0" applyAlignment="0" applyProtection="0"/>
    <xf numFmtId="0" fontId="43" fillId="0" borderId="0">
      <alignment/>
      <protection/>
    </xf>
    <xf numFmtId="0" fontId="0" fillId="4" borderId="14" applyNumberFormat="0" applyFont="0" applyAlignment="0" applyProtection="0"/>
    <xf numFmtId="0" fontId="54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9" fillId="49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60" fillId="0" borderId="19" xfId="89" applyFont="1" applyBorder="1" applyAlignment="1">
      <alignment horizontal="left" vertical="top" wrapText="1"/>
      <protection/>
    </xf>
    <xf numFmtId="0" fontId="60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0" fontId="60" fillId="0" borderId="19" xfId="89" applyFont="1" applyFill="1" applyBorder="1" applyAlignment="1">
      <alignment horizontal="left" vertical="top" wrapText="1"/>
      <protection/>
    </xf>
    <xf numFmtId="4" fontId="38" fillId="51" borderId="20" xfId="0" applyNumberFormat="1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4" fontId="34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6" fillId="51" borderId="19" xfId="0" applyNumberFormat="1" applyFont="1" applyFill="1" applyBorder="1" applyAlignment="1">
      <alignment horizontal="right" vertical="center"/>
    </xf>
    <xf numFmtId="4" fontId="33" fillId="29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1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27" t="s">
        <v>97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8" ht="57.75" customHeight="1">
      <c r="B2" s="129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29"/>
      <c r="C3" s="130" t="s">
        <v>63</v>
      </c>
      <c r="D3" s="130"/>
      <c r="E3" s="130"/>
      <c r="F3" s="130" t="s">
        <v>4</v>
      </c>
      <c r="G3" s="130"/>
      <c r="H3" s="130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9" t="s">
        <v>5</v>
      </c>
      <c r="C5" s="70">
        <f>28490918276.14</f>
        <v>28490918276.14</v>
      </c>
      <c r="D5" s="70">
        <f>13777217018.11</f>
        <v>13777217018.11</v>
      </c>
      <c r="E5" s="70">
        <f>12869905849.32</f>
        <v>12869905849.32</v>
      </c>
      <c r="F5" s="71">
        <f aca="true" t="shared" si="0" ref="F5:F33">IF($D$5=0,"",100*$D5/$D$5)</f>
        <v>100</v>
      </c>
      <c r="G5" s="71">
        <f aca="true" t="shared" si="1" ref="G5:G36">IF(C5=0,"",100*D5/C5)</f>
        <v>48.35652148722727</v>
      </c>
      <c r="H5" s="71"/>
    </row>
    <row r="6" spans="2:8" ht="25.5" customHeight="1">
      <c r="B6" s="61" t="s">
        <v>47</v>
      </c>
      <c r="C6" s="30">
        <f>C5-C11-C29</f>
        <v>9613229603.14</v>
      </c>
      <c r="D6" s="30">
        <f>D5-D11-D29</f>
        <v>4828613899.220001</v>
      </c>
      <c r="E6" s="30">
        <f>E5-E11-E29</f>
        <v>4555909766.049999</v>
      </c>
      <c r="F6" s="31">
        <f t="shared" si="0"/>
        <v>35.04781766065557</v>
      </c>
      <c r="G6" s="31">
        <f t="shared" si="1"/>
        <v>50.22884190389893</v>
      </c>
      <c r="H6" s="31">
        <f>IF($D$6=0,"",100*$D6/$D$6)</f>
        <v>100</v>
      </c>
    </row>
    <row r="7" spans="2:8" ht="22.5" customHeight="1">
      <c r="B7" s="62" t="s">
        <v>19</v>
      </c>
      <c r="C7" s="32">
        <f>5279776675.11</f>
        <v>5279776675.11</v>
      </c>
      <c r="D7" s="32">
        <f>2554518245</f>
        <v>2554518245</v>
      </c>
      <c r="E7" s="32">
        <f>2279747825.82</f>
        <v>2279747825.82</v>
      </c>
      <c r="F7" s="33">
        <f t="shared" si="0"/>
        <v>18.54161287901696</v>
      </c>
      <c r="G7" s="33">
        <f t="shared" si="1"/>
        <v>48.38307379633209</v>
      </c>
      <c r="H7" s="33">
        <f>IF($D$6=0,"",100*$D7/$D$6)</f>
        <v>52.9037586834733</v>
      </c>
    </row>
    <row r="8" spans="2:8" ht="22.5" customHeight="1">
      <c r="B8" s="62" t="s">
        <v>26</v>
      </c>
      <c r="C8" s="32">
        <f>177433203.9</f>
        <v>177433203.9</v>
      </c>
      <c r="D8" s="32">
        <f>106654544.87</f>
        <v>106654544.87</v>
      </c>
      <c r="E8" s="32">
        <f>112954218.8</f>
        <v>112954218.8</v>
      </c>
      <c r="F8" s="33">
        <f t="shared" si="0"/>
        <v>0.7741370752148549</v>
      </c>
      <c r="G8" s="33">
        <f t="shared" si="1"/>
        <v>60.109687773044826</v>
      </c>
      <c r="H8" s="33">
        <f>IF($D$6=0,"",100*$D8/$D$6)</f>
        <v>2.2088025072211432</v>
      </c>
    </row>
    <row r="9" spans="2:8" ht="13.5" customHeight="1">
      <c r="B9" s="62" t="s">
        <v>20</v>
      </c>
      <c r="C9" s="32">
        <f>508845459.97</f>
        <v>508845459.97</v>
      </c>
      <c r="D9" s="72">
        <f>164386782.73</f>
        <v>164386782.73</v>
      </c>
      <c r="E9" s="32">
        <f>164230870.31</f>
        <v>164230870.31</v>
      </c>
      <c r="F9" s="33">
        <f t="shared" si="0"/>
        <v>1.193178437371752</v>
      </c>
      <c r="G9" s="33">
        <f t="shared" si="1"/>
        <v>32.305836577512494</v>
      </c>
      <c r="H9" s="33">
        <f>IF($D$6=0,"",100*$D9/$D$6)</f>
        <v>3.404430053033532</v>
      </c>
    </row>
    <row r="10" spans="2:8" ht="13.5" customHeight="1">
      <c r="B10" s="62" t="s">
        <v>21</v>
      </c>
      <c r="C10" s="32">
        <f>C6-C8-C7-C9</f>
        <v>3647174264.16</v>
      </c>
      <c r="D10" s="32">
        <f>D6-D8-D7-D9</f>
        <v>2003054326.6200013</v>
      </c>
      <c r="E10" s="32">
        <f>E6-E8-E7-E9</f>
        <v>1998976851.119999</v>
      </c>
      <c r="F10" s="33">
        <f t="shared" si="0"/>
        <v>14.538889269052003</v>
      </c>
      <c r="G10" s="33">
        <f t="shared" si="1"/>
        <v>54.920718933109036</v>
      </c>
      <c r="H10" s="33">
        <f>IF($D$6=0,"",100*$D10/$D$6)</f>
        <v>41.48300875627203</v>
      </c>
    </row>
    <row r="11" spans="2:8" ht="26.25" customHeight="1">
      <c r="B11" s="69" t="s">
        <v>55</v>
      </c>
      <c r="C11" s="70">
        <f>C12+C25+C27</f>
        <v>8422510536</v>
      </c>
      <c r="D11" s="70">
        <f>D12+D25+D27</f>
        <v>2756625100.8900003</v>
      </c>
      <c r="E11" s="70">
        <f>E12+E25+E27</f>
        <v>2675679480.2</v>
      </c>
      <c r="F11" s="71">
        <f t="shared" si="0"/>
        <v>20.008577184103633</v>
      </c>
      <c r="G11" s="71">
        <f t="shared" si="1"/>
        <v>32.72925678284958</v>
      </c>
      <c r="H11" s="73"/>
    </row>
    <row r="12" spans="2:8" ht="25.5" customHeight="1">
      <c r="B12" s="69" t="s">
        <v>48</v>
      </c>
      <c r="C12" s="70">
        <f>C13+C15+C17+C19+C21+C23</f>
        <v>5677973712.740001</v>
      </c>
      <c r="D12" s="70">
        <f>D13+D15+D17+D19+D21+D23</f>
        <v>2164112081.69</v>
      </c>
      <c r="E12" s="70">
        <f>E13+E15+E17+E19+E21+E23</f>
        <v>2105779094.7999997</v>
      </c>
      <c r="F12" s="71">
        <f t="shared" si="0"/>
        <v>15.70790442543874</v>
      </c>
      <c r="G12" s="71">
        <f t="shared" si="1"/>
        <v>38.11416169177141</v>
      </c>
      <c r="H12" s="36"/>
    </row>
    <row r="13" spans="2:8" ht="22.5" customHeight="1">
      <c r="B13" s="62" t="s">
        <v>9</v>
      </c>
      <c r="C13" s="32">
        <f>2675207895.58</f>
        <v>2675207895.58</v>
      </c>
      <c r="D13" s="32">
        <f>1420360302.29</f>
        <v>1420360302.29</v>
      </c>
      <c r="E13" s="32">
        <f>1362407776.47</f>
        <v>1362407776.47</v>
      </c>
      <c r="F13" s="33">
        <f t="shared" si="0"/>
        <v>10.309486309339194</v>
      </c>
      <c r="G13" s="33">
        <f t="shared" si="1"/>
        <v>53.09345507826628</v>
      </c>
      <c r="H13" s="36"/>
    </row>
    <row r="14" spans="2:8" ht="12.75">
      <c r="B14" s="74" t="s">
        <v>6</v>
      </c>
      <c r="C14" s="32">
        <f>50692342</f>
        <v>50692342</v>
      </c>
      <c r="D14" s="32">
        <f>4752579.48</f>
        <v>4752579.48</v>
      </c>
      <c r="E14" s="32">
        <f>4752579.48</f>
        <v>4752579.48</v>
      </c>
      <c r="F14" s="33">
        <f t="shared" si="0"/>
        <v>0.03449593247861878</v>
      </c>
      <c r="G14" s="33">
        <f t="shared" si="1"/>
        <v>9.375340125338854</v>
      </c>
      <c r="H14" s="36"/>
    </row>
    <row r="15" spans="2:8" ht="13.5" customHeight="1">
      <c r="B15" s="62" t="s">
        <v>7</v>
      </c>
      <c r="C15" s="32">
        <f>1547061611.16</f>
        <v>1547061611.16</v>
      </c>
      <c r="D15" s="32">
        <f>355458155.24</f>
        <v>355458155.24</v>
      </c>
      <c r="E15" s="32">
        <f>355418326.84</f>
        <v>355418326.84</v>
      </c>
      <c r="F15" s="33">
        <f t="shared" si="0"/>
        <v>2.5800432320457327</v>
      </c>
      <c r="G15" s="33">
        <f t="shared" si="1"/>
        <v>22.976341257247952</v>
      </c>
      <c r="H15" s="36"/>
    </row>
    <row r="16" spans="2:8" ht="12.75">
      <c r="B16" s="74" t="s">
        <v>6</v>
      </c>
      <c r="C16" s="32">
        <f>789735083.58</f>
        <v>789735083.58</v>
      </c>
      <c r="D16" s="32">
        <f>16493008.66</f>
        <v>16493008.66</v>
      </c>
      <c r="E16" s="32">
        <f>16487888.66</f>
        <v>16487888.66</v>
      </c>
      <c r="F16" s="33">
        <f t="shared" si="0"/>
        <v>0.11971219324134999</v>
      </c>
      <c r="G16" s="33">
        <f t="shared" si="1"/>
        <v>2.088422941175977</v>
      </c>
      <c r="H16" s="36"/>
    </row>
    <row r="17" spans="2:8" ht="33" customHeight="1">
      <c r="B17" s="62" t="s">
        <v>10</v>
      </c>
      <c r="C17" s="32">
        <f>32227261.15</f>
        <v>32227261.15</v>
      </c>
      <c r="D17" s="32">
        <f>27026253.83</f>
        <v>27026253.83</v>
      </c>
      <c r="E17" s="32">
        <f>26996401.78</f>
        <v>26996401.78</v>
      </c>
      <c r="F17" s="33">
        <f t="shared" si="0"/>
        <v>0.19616627795348135</v>
      </c>
      <c r="G17" s="33">
        <f t="shared" si="1"/>
        <v>83.86146655220809</v>
      </c>
      <c r="H17" s="36"/>
    </row>
    <row r="18" spans="2:8" ht="12.75">
      <c r="B18" s="74" t="s">
        <v>6</v>
      </c>
      <c r="C18" s="32">
        <f>4381830</f>
        <v>4381830</v>
      </c>
      <c r="D18" s="32">
        <f>0</f>
        <v>0</v>
      </c>
      <c r="E18" s="32">
        <f>0</f>
        <v>0</v>
      </c>
      <c r="F18" s="33">
        <f t="shared" si="0"/>
        <v>0</v>
      </c>
      <c r="G18" s="33">
        <f t="shared" si="1"/>
        <v>0</v>
      </c>
      <c r="H18" s="36"/>
    </row>
    <row r="19" spans="2:8" ht="25.5" customHeight="1">
      <c r="B19" s="62" t="s">
        <v>11</v>
      </c>
      <c r="C19" s="32">
        <f>417769864.66</f>
        <v>417769864.66</v>
      </c>
      <c r="D19" s="32">
        <f>191854038.41</f>
        <v>191854038.41</v>
      </c>
      <c r="E19" s="32">
        <f>191533957.79</f>
        <v>191533957.79</v>
      </c>
      <c r="F19" s="33">
        <f t="shared" si="0"/>
        <v>1.3925456654838926</v>
      </c>
      <c r="G19" s="33">
        <f t="shared" si="1"/>
        <v>45.92337902738377</v>
      </c>
      <c r="H19" s="36"/>
    </row>
    <row r="20" spans="2:8" ht="12.75">
      <c r="B20" s="74" t="s">
        <v>6</v>
      </c>
      <c r="C20" s="32">
        <f>105432103.01</f>
        <v>105432103.01</v>
      </c>
      <c r="D20" s="32">
        <f>32037980.97</f>
        <v>32037980.97</v>
      </c>
      <c r="E20" s="32">
        <f>32037980.97</f>
        <v>32037980.97</v>
      </c>
      <c r="F20" s="33">
        <f t="shared" si="0"/>
        <v>0.232543197424316</v>
      </c>
      <c r="G20" s="33">
        <f t="shared" si="1"/>
        <v>30.387310937885083</v>
      </c>
      <c r="H20" s="36"/>
    </row>
    <row r="21" spans="2:8" ht="33.75">
      <c r="B21" s="62" t="s">
        <v>64</v>
      </c>
      <c r="C21" s="32">
        <f>934454169.3</f>
        <v>934454169.3</v>
      </c>
      <c r="D21" s="32">
        <f>156847229.56</f>
        <v>156847229.56</v>
      </c>
      <c r="E21" s="32">
        <f>156856229.56</f>
        <v>156856229.56</v>
      </c>
      <c r="F21" s="33">
        <f t="shared" si="0"/>
        <v>1.138453646725794</v>
      </c>
      <c r="G21" s="33">
        <f t="shared" si="1"/>
        <v>16.78490339205125</v>
      </c>
      <c r="H21" s="36"/>
    </row>
    <row r="22" spans="2:8" ht="12.75">
      <c r="B22" s="74" t="s">
        <v>6</v>
      </c>
      <c r="C22" s="32">
        <f>851258991.2</f>
        <v>851258991.2</v>
      </c>
      <c r="D22" s="32">
        <f>127110112.16</f>
        <v>127110112.16</v>
      </c>
      <c r="E22" s="32">
        <f>127119112.16</f>
        <v>127119112.16</v>
      </c>
      <c r="F22" s="33">
        <f t="shared" si="0"/>
        <v>0.9226109452505187</v>
      </c>
      <c r="G22" s="33">
        <f t="shared" si="1"/>
        <v>14.932014049075221</v>
      </c>
      <c r="H22" s="36"/>
    </row>
    <row r="23" spans="2:8" ht="15" customHeight="1">
      <c r="B23" s="62" t="s">
        <v>8</v>
      </c>
      <c r="C23" s="32">
        <f>71252910.89</f>
        <v>71252910.89</v>
      </c>
      <c r="D23" s="32">
        <f>12566102.36</f>
        <v>12566102.36</v>
      </c>
      <c r="E23" s="32">
        <f>12566402.36</f>
        <v>12566402.36</v>
      </c>
      <c r="F23" s="33">
        <f t="shared" si="0"/>
        <v>0.09120929389064567</v>
      </c>
      <c r="G23" s="33">
        <f t="shared" si="1"/>
        <v>17.635914383062197</v>
      </c>
      <c r="H23" s="36"/>
    </row>
    <row r="24" spans="2:8" ht="12.75">
      <c r="B24" s="74" t="s">
        <v>6</v>
      </c>
      <c r="C24" s="32">
        <f>62696650.96</f>
        <v>62696650.96</v>
      </c>
      <c r="D24" s="32">
        <f>8440145.22</f>
        <v>8440145.22</v>
      </c>
      <c r="E24" s="32">
        <f>8440145.22</f>
        <v>8440145.22</v>
      </c>
      <c r="F24" s="33">
        <f t="shared" si="0"/>
        <v>0.06126161189814694</v>
      </c>
      <c r="G24" s="33">
        <f t="shared" si="1"/>
        <v>13.461875699524606</v>
      </c>
      <c r="H24" s="36"/>
    </row>
    <row r="25" spans="2:8" ht="13.5" customHeight="1">
      <c r="B25" s="69" t="s">
        <v>82</v>
      </c>
      <c r="C25" s="30">
        <f>328752916.66</f>
        <v>328752916.66</v>
      </c>
      <c r="D25" s="30">
        <f>69203267.76</f>
        <v>69203267.76</v>
      </c>
      <c r="E25" s="30">
        <f>67788383.39</f>
        <v>67788383.39</v>
      </c>
      <c r="F25" s="34">
        <f t="shared" si="0"/>
        <v>0.5023022259795507</v>
      </c>
      <c r="G25" s="34">
        <f t="shared" si="1"/>
        <v>21.05023689617051</v>
      </c>
      <c r="H25" s="20"/>
    </row>
    <row r="26" spans="2:8" ht="13.5" customHeight="1">
      <c r="B26" s="63" t="s">
        <v>57</v>
      </c>
      <c r="C26" s="35">
        <f>244210989.83</f>
        <v>244210989.83</v>
      </c>
      <c r="D26" s="35">
        <f>38034985.48</f>
        <v>38034985.48</v>
      </c>
      <c r="E26" s="35">
        <f>38034985.48</f>
        <v>38034985.48</v>
      </c>
      <c r="F26" s="33">
        <f t="shared" si="0"/>
        <v>0.2760716146809869</v>
      </c>
      <c r="G26" s="33">
        <f t="shared" si="1"/>
        <v>15.574641217611411</v>
      </c>
      <c r="H26" s="20"/>
    </row>
    <row r="27" spans="2:8" ht="13.5" customHeight="1">
      <c r="B27" s="69" t="s">
        <v>83</v>
      </c>
      <c r="C27" s="75">
        <f>2415783906.6</f>
        <v>2415783906.6</v>
      </c>
      <c r="D27" s="75">
        <f>523309751.44</f>
        <v>523309751.44</v>
      </c>
      <c r="E27" s="75">
        <f>502112002.01</f>
        <v>502112002.01</v>
      </c>
      <c r="F27" s="76">
        <f t="shared" si="0"/>
        <v>3.7983705326853388</v>
      </c>
      <c r="G27" s="76">
        <f t="shared" si="1"/>
        <v>21.66210934721027</v>
      </c>
      <c r="H27" s="20"/>
    </row>
    <row r="28" spans="2:8" ht="10.5" customHeight="1">
      <c r="B28" s="63" t="s">
        <v>80</v>
      </c>
      <c r="C28" s="35">
        <f>1736855534.59</f>
        <v>1736855534.59</v>
      </c>
      <c r="D28" s="35">
        <f>259186458.24</f>
        <v>259186458.24</v>
      </c>
      <c r="E28" s="35">
        <f>254801823.68</f>
        <v>254801823.68</v>
      </c>
      <c r="F28" s="33">
        <f t="shared" si="0"/>
        <v>1.881268603806576</v>
      </c>
      <c r="G28" s="33">
        <f t="shared" si="1"/>
        <v>14.92274130336253</v>
      </c>
      <c r="H28" s="20"/>
    </row>
    <row r="29" spans="2:8" s="5" customFormat="1" ht="23.25" customHeight="1">
      <c r="B29" s="61" t="s">
        <v>49</v>
      </c>
      <c r="C29" s="30">
        <f>C30+C31+C32+C33</f>
        <v>10455178137</v>
      </c>
      <c r="D29" s="30">
        <f>D30+D31+D32+D33</f>
        <v>6191978018</v>
      </c>
      <c r="E29" s="30">
        <f>E30+E31+E32+E33</f>
        <v>5638316603.07</v>
      </c>
      <c r="F29" s="31">
        <f t="shared" si="0"/>
        <v>44.94360515524081</v>
      </c>
      <c r="G29" s="31">
        <f t="shared" si="1"/>
        <v>59.22403173683965</v>
      </c>
      <c r="H29" s="21"/>
    </row>
    <row r="30" spans="2:8" ht="11.25" customHeight="1">
      <c r="B30" s="62" t="s">
        <v>33</v>
      </c>
      <c r="C30" s="32">
        <f>7632356988</f>
        <v>7632356988</v>
      </c>
      <c r="D30" s="32">
        <f>4693101800</f>
        <v>4693101800</v>
      </c>
      <c r="E30" s="32">
        <f>4139439845.07</f>
        <v>4139439845.07</v>
      </c>
      <c r="F30" s="33">
        <f t="shared" si="0"/>
        <v>34.064222069166576</v>
      </c>
      <c r="G30" s="33">
        <f t="shared" si="1"/>
        <v>61.48954782092538</v>
      </c>
      <c r="H30" s="20"/>
    </row>
    <row r="31" spans="2:8" ht="10.5" customHeight="1">
      <c r="B31" s="62" t="s">
        <v>32</v>
      </c>
      <c r="C31" s="32">
        <f>629527783</f>
        <v>629527783</v>
      </c>
      <c r="D31" s="32">
        <f>314764002</f>
        <v>314764002</v>
      </c>
      <c r="E31" s="32">
        <f>314764542</f>
        <v>314764542</v>
      </c>
      <c r="F31" s="33">
        <f t="shared" si="0"/>
        <v>2.2846704206389883</v>
      </c>
      <c r="G31" s="33">
        <f t="shared" si="1"/>
        <v>50.00001755283928</v>
      </c>
      <c r="H31" s="20"/>
    </row>
    <row r="32" spans="2:8" ht="11.25" customHeight="1">
      <c r="B32" s="62" t="s">
        <v>34</v>
      </c>
      <c r="C32" s="32">
        <f>2005673066</f>
        <v>2005673066</v>
      </c>
      <c r="D32" s="32">
        <f>1002836616</f>
        <v>1002836616</v>
      </c>
      <c r="E32" s="32">
        <f>1002836616</f>
        <v>1002836616</v>
      </c>
      <c r="F32" s="33">
        <f t="shared" si="0"/>
        <v>7.278949113465965</v>
      </c>
      <c r="G32" s="33">
        <f t="shared" si="1"/>
        <v>50.00000413826169</v>
      </c>
      <c r="H32" s="20"/>
    </row>
    <row r="33" spans="2:8" s="5" customFormat="1" ht="12" customHeight="1">
      <c r="B33" s="62" t="s">
        <v>31</v>
      </c>
      <c r="C33" s="32">
        <f>187620300</f>
        <v>187620300</v>
      </c>
      <c r="D33" s="32">
        <f>181275600</f>
        <v>181275600</v>
      </c>
      <c r="E33" s="32">
        <f>181275600</f>
        <v>181275600</v>
      </c>
      <c r="F33" s="33">
        <f t="shared" si="0"/>
        <v>1.315763551969278</v>
      </c>
      <c r="G33" s="33">
        <f t="shared" si="1"/>
        <v>96.61832967967752</v>
      </c>
      <c r="H33" s="21"/>
    </row>
    <row r="34" spans="2:7" s="5" customFormat="1" ht="12.75">
      <c r="B34" s="77" t="s">
        <v>5</v>
      </c>
      <c r="C34" s="75">
        <f>+C5</f>
        <v>28490918276.14</v>
      </c>
      <c r="D34" s="75">
        <f>+D5</f>
        <v>13777217018.11</v>
      </c>
      <c r="E34" s="75">
        <f>+E5</f>
        <v>12869905849.32</v>
      </c>
      <c r="F34" s="76">
        <f>IF($D$5=0,"",100*$D34/$D$34)</f>
        <v>100</v>
      </c>
      <c r="G34" s="76">
        <f t="shared" si="1"/>
        <v>48.35652148722727</v>
      </c>
    </row>
    <row r="35" spans="2:7" s="5" customFormat="1" ht="13.5" customHeight="1">
      <c r="B35" s="62" t="s">
        <v>58</v>
      </c>
      <c r="C35" s="32">
        <f>4583261022.11</f>
        <v>4583261022.11</v>
      </c>
      <c r="D35" s="32">
        <f>806542858.1</f>
        <v>806542858.1</v>
      </c>
      <c r="E35" s="32">
        <f>802553063.74</f>
        <v>802553063.74</v>
      </c>
      <c r="F35" s="33">
        <f>IF($D$5=0,"",100*$D35/$D$34)</f>
        <v>5.8541783659196795</v>
      </c>
      <c r="G35" s="33">
        <f t="shared" si="1"/>
        <v>17.59757635904165</v>
      </c>
    </row>
    <row r="36" spans="1:13" s="5" customFormat="1" ht="14.25" customHeight="1">
      <c r="A36" s="2"/>
      <c r="B36" s="62" t="s">
        <v>59</v>
      </c>
      <c r="C36" s="32">
        <f>C34-C35</f>
        <v>23907657254.03</v>
      </c>
      <c r="D36" s="32">
        <f>D34-D35</f>
        <v>12970674160.01</v>
      </c>
      <c r="E36" s="32">
        <f>E34-E35</f>
        <v>12067352785.58</v>
      </c>
      <c r="F36" s="33">
        <f>IF($D$5=0,"",100*$D36/$D$34)</f>
        <v>94.14582163408032</v>
      </c>
      <c r="G36" s="33">
        <f t="shared" si="1"/>
        <v>54.25322114245885</v>
      </c>
      <c r="I36" s="15"/>
      <c r="J36" s="15"/>
      <c r="K36" s="9"/>
      <c r="L36" s="9"/>
      <c r="M36" s="3"/>
    </row>
    <row r="37" spans="2:13" ht="32.25" customHeight="1">
      <c r="B37" s="127" t="s">
        <v>97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9" t="s">
        <v>0</v>
      </c>
      <c r="C39" s="115" t="s">
        <v>43</v>
      </c>
      <c r="D39" s="115" t="s">
        <v>44</v>
      </c>
      <c r="E39" s="115" t="s">
        <v>45</v>
      </c>
      <c r="F39" s="115" t="s">
        <v>12</v>
      </c>
      <c r="G39" s="115"/>
      <c r="H39" s="115"/>
      <c r="I39" s="115" t="s">
        <v>81</v>
      </c>
      <c r="J39" s="115"/>
      <c r="K39" s="115" t="s">
        <v>2</v>
      </c>
      <c r="L39" s="128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9"/>
      <c r="C40" s="115"/>
      <c r="D40" s="114"/>
      <c r="E40" s="115"/>
      <c r="F40" s="113" t="s">
        <v>46</v>
      </c>
      <c r="G40" s="116" t="s">
        <v>25</v>
      </c>
      <c r="H40" s="114"/>
      <c r="I40" s="115"/>
      <c r="J40" s="115"/>
      <c r="K40" s="115"/>
      <c r="L40" s="128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9"/>
      <c r="C41" s="115"/>
      <c r="D41" s="114"/>
      <c r="E41" s="115"/>
      <c r="F41" s="114"/>
      <c r="G41" s="17" t="s">
        <v>41</v>
      </c>
      <c r="H41" s="17" t="s">
        <v>42</v>
      </c>
      <c r="I41" s="115"/>
      <c r="J41" s="115"/>
      <c r="K41" s="115"/>
      <c r="L41" s="128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9"/>
      <c r="C42" s="130" t="s">
        <v>63</v>
      </c>
      <c r="D42" s="130"/>
      <c r="E42" s="130"/>
      <c r="F42" s="130"/>
      <c r="G42" s="130"/>
      <c r="H42" s="130"/>
      <c r="I42" s="130"/>
      <c r="J42" s="130"/>
      <c r="K42" s="130" t="s">
        <v>4</v>
      </c>
      <c r="L42" s="13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114">
        <v>8</v>
      </c>
      <c r="J43" s="114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78" t="s">
        <v>50</v>
      </c>
      <c r="C44" s="79">
        <f>30924610621</f>
        <v>30924610621</v>
      </c>
      <c r="D44" s="79">
        <f>21548921189.04</f>
        <v>21548921189.04</v>
      </c>
      <c r="E44" s="79">
        <f>11806815844.03</f>
        <v>11806815844.03</v>
      </c>
      <c r="F44" s="79">
        <f>816326181.43</f>
        <v>816326181.43</v>
      </c>
      <c r="G44" s="79">
        <f>8153331.68</f>
        <v>8153331.68</v>
      </c>
      <c r="H44" s="79">
        <f>2448241.38</f>
        <v>2448241.38</v>
      </c>
      <c r="I44" s="119">
        <f>0</f>
        <v>0</v>
      </c>
      <c r="J44" s="119"/>
      <c r="K44" s="55">
        <f aca="true" t="shared" si="2" ref="K44:K55">IF($E$44=0,"",100*$E44/$E$44)</f>
        <v>100</v>
      </c>
      <c r="L44" s="55">
        <f aca="true" t="shared" si="3" ref="L44:L55">IF(C44=0,"",100*E44/C44)</f>
        <v>38.1793516779556</v>
      </c>
    </row>
    <row r="45" spans="2:12" ht="12.75">
      <c r="B45" s="29" t="s">
        <v>14</v>
      </c>
      <c r="C45" s="39">
        <f>7933481800.14</f>
        <v>7933481800.14</v>
      </c>
      <c r="D45" s="39">
        <f>3817996255.05</f>
        <v>3817996255.05</v>
      </c>
      <c r="E45" s="39">
        <f>890215693.34</f>
        <v>890215693.34</v>
      </c>
      <c r="F45" s="39">
        <f>244352630.43</f>
        <v>244352630.43</v>
      </c>
      <c r="G45" s="39">
        <f>0</f>
        <v>0</v>
      </c>
      <c r="H45" s="39">
        <f>537195.9</f>
        <v>537195.9</v>
      </c>
      <c r="I45" s="110">
        <f>0</f>
        <v>0</v>
      </c>
      <c r="J45" s="120"/>
      <c r="K45" s="40">
        <f t="shared" si="2"/>
        <v>7.539845671346934</v>
      </c>
      <c r="L45" s="40">
        <f t="shared" si="3"/>
        <v>11.220996225444049</v>
      </c>
    </row>
    <row r="46" spans="2:12" ht="22.5" customHeight="1">
      <c r="B46" s="19" t="s">
        <v>13</v>
      </c>
      <c r="C46" s="35">
        <f>7885782832.58</f>
        <v>7885782832.58</v>
      </c>
      <c r="D46" s="35">
        <f>3795420008.61</f>
        <v>3795420008.61</v>
      </c>
      <c r="E46" s="35">
        <f>872868670.29</f>
        <v>872868670.29</v>
      </c>
      <c r="F46" s="35">
        <f>241100130.43</f>
        <v>241100130.43</v>
      </c>
      <c r="G46" s="35">
        <f>0</f>
        <v>0</v>
      </c>
      <c r="H46" s="35">
        <f>537195.9</f>
        <v>537195.9</v>
      </c>
      <c r="I46" s="117">
        <f>0</f>
        <v>0</v>
      </c>
      <c r="J46" s="118"/>
      <c r="K46" s="41">
        <f t="shared" si="2"/>
        <v>7.39292186666363</v>
      </c>
      <c r="L46" s="41">
        <f t="shared" si="3"/>
        <v>11.06889054417978</v>
      </c>
    </row>
    <row r="47" spans="2:12" ht="25.5" customHeight="1">
      <c r="B47" s="29" t="s">
        <v>51</v>
      </c>
      <c r="C47" s="39">
        <f aca="true" t="shared" si="4" ref="C47:I47">C44-C45</f>
        <v>22991128820.86</v>
      </c>
      <c r="D47" s="39">
        <f t="shared" si="4"/>
        <v>17730924933.99</v>
      </c>
      <c r="E47" s="39">
        <f t="shared" si="4"/>
        <v>10916600150.69</v>
      </c>
      <c r="F47" s="39">
        <f t="shared" si="4"/>
        <v>571973551</v>
      </c>
      <c r="G47" s="39">
        <f t="shared" si="4"/>
        <v>8153331.68</v>
      </c>
      <c r="H47" s="39">
        <f t="shared" si="4"/>
        <v>1911045.48</v>
      </c>
      <c r="I47" s="110">
        <f t="shared" si="4"/>
        <v>0</v>
      </c>
      <c r="J47" s="110"/>
      <c r="K47" s="40">
        <f t="shared" si="2"/>
        <v>92.46015432865306</v>
      </c>
      <c r="L47" s="40">
        <f t="shared" si="3"/>
        <v>47.481792806907755</v>
      </c>
    </row>
    <row r="48" spans="2:12" ht="13.5" customHeight="1">
      <c r="B48" s="19" t="s">
        <v>40</v>
      </c>
      <c r="C48" s="35">
        <f>11514018836.95</f>
        <v>11514018836.95</v>
      </c>
      <c r="D48" s="35">
        <f>10156281356.38</f>
        <v>10156281356.38</v>
      </c>
      <c r="E48" s="35">
        <f>5953993186.99</f>
        <v>5953993186.99</v>
      </c>
      <c r="F48" s="35">
        <f>195745516.08</f>
        <v>195745516.08</v>
      </c>
      <c r="G48" s="35">
        <f>0</f>
        <v>0</v>
      </c>
      <c r="H48" s="35">
        <f>246203.9</f>
        <v>246203.9</v>
      </c>
      <c r="I48" s="117">
        <f>0</f>
        <v>0</v>
      </c>
      <c r="J48" s="118"/>
      <c r="K48" s="41">
        <f t="shared" si="2"/>
        <v>50.4284412126287</v>
      </c>
      <c r="L48" s="41">
        <f t="shared" si="3"/>
        <v>51.710816799107995</v>
      </c>
    </row>
    <row r="49" spans="2:12" ht="22.5" customHeight="1">
      <c r="B49" s="80" t="s">
        <v>35</v>
      </c>
      <c r="C49" s="81">
        <f>10321299935.76</f>
        <v>10321299935.76</v>
      </c>
      <c r="D49" s="81">
        <f>9098911525.13</f>
        <v>9098911525.13</v>
      </c>
      <c r="E49" s="81">
        <f>4976710061.88</f>
        <v>4976710061.88</v>
      </c>
      <c r="F49" s="81">
        <f>190253235.59</f>
        <v>190253235.59</v>
      </c>
      <c r="G49" s="81">
        <f>0</f>
        <v>0</v>
      </c>
      <c r="H49" s="81">
        <f>245413.25</f>
        <v>245413.25</v>
      </c>
      <c r="I49" s="107">
        <f>0</f>
        <v>0</v>
      </c>
      <c r="J49" s="107"/>
      <c r="K49" s="82">
        <f t="shared" si="2"/>
        <v>42.15116190193162</v>
      </c>
      <c r="L49" s="82">
        <f t="shared" si="3"/>
        <v>48.21786105292118</v>
      </c>
    </row>
    <row r="50" spans="2:12" ht="13.5" customHeight="1">
      <c r="B50" s="22" t="s">
        <v>39</v>
      </c>
      <c r="C50" s="32">
        <f>1965879694.31</f>
        <v>1965879694.31</v>
      </c>
      <c r="D50" s="32">
        <f>1748261537.58</f>
        <v>1748261537.58</v>
      </c>
      <c r="E50" s="32">
        <f>956945218.9</f>
        <v>956945218.9</v>
      </c>
      <c r="F50" s="32">
        <f>97319550.37</f>
        <v>97319550.37</v>
      </c>
      <c r="G50" s="32">
        <f>0</f>
        <v>0</v>
      </c>
      <c r="H50" s="32">
        <f>171381.43</f>
        <v>171381.43</v>
      </c>
      <c r="I50" s="106">
        <f>0</f>
        <v>0</v>
      </c>
      <c r="J50" s="106"/>
      <c r="K50" s="82">
        <f t="shared" si="2"/>
        <v>8.105023670576431</v>
      </c>
      <c r="L50" s="82">
        <f t="shared" si="3"/>
        <v>48.677710119788195</v>
      </c>
    </row>
    <row r="51" spans="2:12" ht="13.5" customHeight="1">
      <c r="B51" s="22" t="s">
        <v>38</v>
      </c>
      <c r="C51" s="81">
        <f>1824433911.3</f>
        <v>1824433911.3</v>
      </c>
      <c r="D51" s="81">
        <f>1293720472.5</f>
        <v>1293720472.5</v>
      </c>
      <c r="E51" s="81">
        <f>878878688.05</f>
        <v>878878688.05</v>
      </c>
      <c r="F51" s="81">
        <f>4177736.27</f>
        <v>4177736.27</v>
      </c>
      <c r="G51" s="81">
        <f>0</f>
        <v>0</v>
      </c>
      <c r="H51" s="81">
        <f>0</f>
        <v>0</v>
      </c>
      <c r="I51" s="107">
        <f>0</f>
        <v>0</v>
      </c>
      <c r="J51" s="107"/>
      <c r="K51" s="82">
        <f t="shared" si="2"/>
        <v>7.443824818309471</v>
      </c>
      <c r="L51" s="82">
        <f t="shared" si="3"/>
        <v>48.17267880225682</v>
      </c>
    </row>
    <row r="52" spans="2:12" ht="13.5" customHeight="1">
      <c r="B52" s="22" t="s">
        <v>37</v>
      </c>
      <c r="C52" s="32">
        <f>192661120.82</f>
        <v>192661120.82</v>
      </c>
      <c r="D52" s="32">
        <f>102672963.1</f>
        <v>102672963.1</v>
      </c>
      <c r="E52" s="32">
        <f>75412907.05</f>
        <v>75412907.05</v>
      </c>
      <c r="F52" s="32">
        <f>3002624.71</f>
        <v>3002624.71</v>
      </c>
      <c r="G52" s="32">
        <f>0</f>
        <v>0</v>
      </c>
      <c r="H52" s="32">
        <f>0</f>
        <v>0</v>
      </c>
      <c r="I52" s="106">
        <f>0</f>
        <v>0</v>
      </c>
      <c r="J52" s="106"/>
      <c r="K52" s="82">
        <f t="shared" si="2"/>
        <v>0.638723497056421</v>
      </c>
      <c r="L52" s="82">
        <f t="shared" si="3"/>
        <v>39.14277396966718</v>
      </c>
    </row>
    <row r="53" spans="2:12" ht="22.5" customHeight="1">
      <c r="B53" s="22" t="s">
        <v>54</v>
      </c>
      <c r="C53" s="81">
        <f>47373765.61</f>
        <v>47373765.61</v>
      </c>
      <c r="D53" s="81">
        <f>10080114.27</f>
        <v>10080114.27</v>
      </c>
      <c r="E53" s="81">
        <f>2880032.93</f>
        <v>2880032.93</v>
      </c>
      <c r="F53" s="81">
        <f>0</f>
        <v>0</v>
      </c>
      <c r="G53" s="81">
        <f>0</f>
        <v>0</v>
      </c>
      <c r="H53" s="81">
        <f>0</f>
        <v>0</v>
      </c>
      <c r="I53" s="107">
        <f>0</f>
        <v>0</v>
      </c>
      <c r="J53" s="107"/>
      <c r="K53" s="82">
        <f t="shared" si="2"/>
        <v>0.024392969010829962</v>
      </c>
      <c r="L53" s="82">
        <f t="shared" si="3"/>
        <v>6.079383584808512</v>
      </c>
    </row>
    <row r="54" spans="2:12" ht="22.5" customHeight="1">
      <c r="B54" s="22" t="s">
        <v>56</v>
      </c>
      <c r="C54" s="81">
        <f>1084336081.99</f>
        <v>1084336081.99</v>
      </c>
      <c r="D54" s="81">
        <f>737364709.96</f>
        <v>737364709.96</v>
      </c>
      <c r="E54" s="81">
        <f>488748920.61</f>
        <v>488748920.61</v>
      </c>
      <c r="F54" s="81">
        <f>9441655.35</f>
        <v>9441655.35</v>
      </c>
      <c r="G54" s="81">
        <f>853</f>
        <v>853</v>
      </c>
      <c r="H54" s="81">
        <f>6207.2</f>
        <v>6207.2</v>
      </c>
      <c r="I54" s="111">
        <f>0</f>
        <v>0</v>
      </c>
      <c r="J54" s="112"/>
      <c r="K54" s="82">
        <f t="shared" si="2"/>
        <v>4.139548944156108</v>
      </c>
      <c r="L54" s="82">
        <f t="shared" si="3"/>
        <v>45.07356425076588</v>
      </c>
    </row>
    <row r="55" spans="2:12" ht="13.5" customHeight="1">
      <c r="B55" s="19" t="s">
        <v>36</v>
      </c>
      <c r="C55" s="35">
        <f aca="true" t="shared" si="5" ref="C55:I55">C47-C48-C50-C51-C52-C53-C54</f>
        <v>6362425409.880001</v>
      </c>
      <c r="D55" s="35">
        <f t="shared" si="5"/>
        <v>3682543780.2000017</v>
      </c>
      <c r="E55" s="35">
        <f t="shared" si="5"/>
        <v>2559741196.160001</v>
      </c>
      <c r="F55" s="35">
        <f t="shared" si="5"/>
        <v>262286468.22</v>
      </c>
      <c r="G55" s="35">
        <f t="shared" si="5"/>
        <v>8152478.68</v>
      </c>
      <c r="H55" s="35">
        <f t="shared" si="5"/>
        <v>1487252.9500000002</v>
      </c>
      <c r="I55" s="108">
        <f t="shared" si="5"/>
        <v>0</v>
      </c>
      <c r="J55" s="109"/>
      <c r="K55" s="41">
        <f t="shared" si="2"/>
        <v>21.680199216915106</v>
      </c>
      <c r="L55" s="41">
        <f t="shared" si="3"/>
        <v>40.23216039884826</v>
      </c>
    </row>
    <row r="56" spans="2:13" ht="12.75">
      <c r="B56" s="78" t="s">
        <v>15</v>
      </c>
      <c r="C56" s="87">
        <f>C5-C44</f>
        <v>-2433692344.8600006</v>
      </c>
      <c r="D56" s="87"/>
      <c r="E56" s="87">
        <f>D5-E44</f>
        <v>1970401174.08</v>
      </c>
      <c r="F56" s="87"/>
      <c r="G56" s="87"/>
      <c r="H56" s="87"/>
      <c r="I56" s="110"/>
      <c r="J56" s="110"/>
      <c r="K56" s="91"/>
      <c r="L56" s="91"/>
      <c r="M56" s="13"/>
    </row>
    <row r="57" spans="2:13" ht="39" customHeight="1">
      <c r="B57" s="88" t="s">
        <v>84</v>
      </c>
      <c r="C57" s="89">
        <f>C36-C47</f>
        <v>916528433.1699982</v>
      </c>
      <c r="D57" s="90"/>
      <c r="E57" s="89">
        <f>D36-E47</f>
        <v>2054074009.3199997</v>
      </c>
      <c r="F57" s="90"/>
      <c r="G57" s="90"/>
      <c r="H57" s="90"/>
      <c r="I57" s="90"/>
      <c r="J57" s="90"/>
      <c r="K57" s="42"/>
      <c r="L57" s="43"/>
      <c r="M57" s="10"/>
    </row>
    <row r="58" spans="2:13" ht="12" customHeight="1" thickBot="1">
      <c r="B58" s="37"/>
      <c r="C58" s="44"/>
      <c r="D58" s="44"/>
      <c r="E58" s="44"/>
      <c r="F58" s="45"/>
      <c r="G58" s="45"/>
      <c r="H58" s="45"/>
      <c r="I58" s="45"/>
      <c r="J58" s="42"/>
      <c r="K58" s="42"/>
      <c r="L58" s="43"/>
      <c r="M58" s="10"/>
    </row>
    <row r="59" spans="2:13" ht="12" customHeight="1" thickBot="1">
      <c r="B59" s="38" t="s">
        <v>60</v>
      </c>
      <c r="C59" s="44"/>
      <c r="D59" s="44"/>
      <c r="E59" s="44"/>
      <c r="F59" s="45"/>
      <c r="G59" s="45"/>
      <c r="H59" s="45"/>
      <c r="I59" s="45"/>
      <c r="J59" s="42"/>
      <c r="K59" s="42"/>
      <c r="L59" s="43"/>
      <c r="M59" s="10"/>
    </row>
    <row r="60" spans="2:13" ht="30" customHeight="1" thickBot="1">
      <c r="B60" s="86" t="s">
        <v>85</v>
      </c>
      <c r="C60" s="83">
        <f>3829297113.6</f>
        <v>3829297113.6</v>
      </c>
      <c r="D60" s="83">
        <f>1917632827.98</f>
        <v>1917632827.98</v>
      </c>
      <c r="E60" s="83">
        <f>733672545.13</f>
        <v>733672545.13</v>
      </c>
      <c r="F60" s="83">
        <f>101523068.64</f>
        <v>101523068.64</v>
      </c>
      <c r="G60" s="83">
        <f>0</f>
        <v>0</v>
      </c>
      <c r="H60" s="83">
        <f>0</f>
        <v>0</v>
      </c>
      <c r="I60" s="83">
        <f>0</f>
        <v>0</v>
      </c>
      <c r="J60" s="83">
        <f>0</f>
        <v>0</v>
      </c>
      <c r="K60" s="55">
        <f>IF($E$44=0,"",100*$E60/$E$60)</f>
        <v>100</v>
      </c>
      <c r="L60" s="84">
        <f>IF(C60=0,"",100*E60/C60)</f>
        <v>19.159457293724056</v>
      </c>
      <c r="M60" s="10"/>
    </row>
    <row r="61" spans="2:12" ht="13.5" thickBot="1">
      <c r="B61" s="85" t="s">
        <v>61</v>
      </c>
      <c r="C61" s="81">
        <f>2864179371.55</f>
        <v>2864179371.55</v>
      </c>
      <c r="D61" s="81">
        <f>1426195625.85</f>
        <v>1426195625.85</v>
      </c>
      <c r="E61" s="81">
        <f>417637049.62</f>
        <v>417637049.62</v>
      </c>
      <c r="F61" s="81">
        <f>85425833.1</f>
        <v>85425833.1</v>
      </c>
      <c r="G61" s="81">
        <f>0</f>
        <v>0</v>
      </c>
      <c r="H61" s="81">
        <f>0</f>
        <v>0</v>
      </c>
      <c r="I61" s="81">
        <f>0</f>
        <v>0</v>
      </c>
      <c r="J61" s="81">
        <f>0</f>
        <v>0</v>
      </c>
      <c r="K61" s="82">
        <f>IF($E$44=0,"",100*$E61/$E$60)</f>
        <v>56.924175831875864</v>
      </c>
      <c r="L61" s="82">
        <f>IF(C61=0,"",100*E61/C61)</f>
        <v>14.581385990291121</v>
      </c>
    </row>
    <row r="62" spans="2:12" ht="13.5" thickBot="1">
      <c r="B62" s="85" t="s">
        <v>62</v>
      </c>
      <c r="C62" s="81">
        <f>C60-C61</f>
        <v>965117742.0499997</v>
      </c>
      <c r="D62" s="81">
        <f aca="true" t="shared" si="6" ref="D62:J62">D60-D61</f>
        <v>491437202.1300001</v>
      </c>
      <c r="E62" s="81">
        <f t="shared" si="6"/>
        <v>316035495.51</v>
      </c>
      <c r="F62" s="81">
        <f t="shared" si="6"/>
        <v>16097235.540000007</v>
      </c>
      <c r="G62" s="81">
        <f t="shared" si="6"/>
        <v>0</v>
      </c>
      <c r="H62" s="81">
        <f t="shared" si="6"/>
        <v>0</v>
      </c>
      <c r="I62" s="81">
        <f t="shared" si="6"/>
        <v>0</v>
      </c>
      <c r="J62" s="81">
        <f t="shared" si="6"/>
        <v>0</v>
      </c>
      <c r="K62" s="82">
        <f>IF($E$44=0,"",100*$E62/$E$60)</f>
        <v>43.075824168124136</v>
      </c>
      <c r="L62" s="82">
        <f>IF(C62=0,"",100*E62/C62)</f>
        <v>32.7457968847108</v>
      </c>
    </row>
    <row r="63" spans="2:13" ht="25.5" customHeight="1">
      <c r="B63" s="127" t="s">
        <v>97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2:8" ht="12.75">
      <c r="B64" s="26" t="s">
        <v>16</v>
      </c>
      <c r="C64" s="121" t="s">
        <v>17</v>
      </c>
      <c r="D64" s="122"/>
      <c r="E64" s="121" t="s">
        <v>1</v>
      </c>
      <c r="F64" s="122"/>
      <c r="G64" s="18" t="s">
        <v>22</v>
      </c>
      <c r="H64" s="18" t="s">
        <v>23</v>
      </c>
    </row>
    <row r="65" spans="2:8" ht="12.75">
      <c r="B65" s="26"/>
      <c r="C65" s="113" t="s">
        <v>63</v>
      </c>
      <c r="D65" s="123"/>
      <c r="E65" s="123"/>
      <c r="F65" s="124"/>
      <c r="G65" s="125" t="s">
        <v>4</v>
      </c>
      <c r="H65" s="126"/>
    </row>
    <row r="66" spans="2:8" ht="12.75">
      <c r="B66" s="24">
        <v>1</v>
      </c>
      <c r="C66" s="27">
        <v>2</v>
      </c>
      <c r="D66" s="28"/>
      <c r="E66" s="27">
        <v>3</v>
      </c>
      <c r="F66" s="28"/>
      <c r="G66" s="25">
        <v>4</v>
      </c>
      <c r="H66" s="25">
        <v>5</v>
      </c>
    </row>
    <row r="67" spans="2:8" ht="22.5">
      <c r="B67" s="66" t="s">
        <v>52</v>
      </c>
      <c r="C67" s="46">
        <f>3204463090.3</f>
        <v>3204463090.3</v>
      </c>
      <c r="D67" s="47"/>
      <c r="E67" s="46">
        <f>1863230214.23</f>
        <v>1863230214.23</v>
      </c>
      <c r="F67" s="47"/>
      <c r="G67" s="48">
        <f>IF($E$67=0,"",100*$E67/$E$67)</f>
        <v>100</v>
      </c>
      <c r="H67" s="40">
        <f>IF(C67=0,"",100*E67/C67)</f>
        <v>58.14484866029664</v>
      </c>
    </row>
    <row r="68" spans="2:8" ht="25.5" customHeight="1">
      <c r="B68" s="67" t="s">
        <v>86</v>
      </c>
      <c r="C68" s="49">
        <f>1955355488.27</f>
        <v>1955355488.27</v>
      </c>
      <c r="D68" s="50"/>
      <c r="E68" s="49">
        <f>95401008.87</f>
        <v>95401008.87</v>
      </c>
      <c r="F68" s="50"/>
      <c r="G68" s="51">
        <f aca="true" t="shared" si="7" ref="G68:G74">IF($E$67=0,"",100*$E68/$E$67)</f>
        <v>5.120194388293853</v>
      </c>
      <c r="H68" s="52">
        <f aca="true" t="shared" si="8" ref="H68:H79">IF(C68=0,"",100*E68/C68)</f>
        <v>4.87895983325293</v>
      </c>
    </row>
    <row r="69" spans="2:8" ht="24" customHeight="1">
      <c r="B69" s="92" t="s">
        <v>87</v>
      </c>
      <c r="C69" s="93">
        <f>63337865</f>
        <v>63337865</v>
      </c>
      <c r="D69" s="94"/>
      <c r="E69" s="93">
        <f>0</f>
        <v>0</v>
      </c>
      <c r="F69" s="94"/>
      <c r="G69" s="95">
        <f t="shared" si="7"/>
        <v>0</v>
      </c>
      <c r="H69" s="96">
        <f t="shared" si="8"/>
        <v>0</v>
      </c>
    </row>
    <row r="70" spans="2:8" ht="12.75">
      <c r="B70" s="97" t="s">
        <v>88</v>
      </c>
      <c r="C70" s="93">
        <f>28980553.56</f>
        <v>28980553.56</v>
      </c>
      <c r="D70" s="94"/>
      <c r="E70" s="93">
        <f>9883561.69</f>
        <v>9883561.69</v>
      </c>
      <c r="F70" s="94"/>
      <c r="G70" s="95">
        <f t="shared" si="7"/>
        <v>0.5304530602024661</v>
      </c>
      <c r="H70" s="96">
        <f t="shared" si="8"/>
        <v>34.10411629832236</v>
      </c>
    </row>
    <row r="71" spans="2:8" ht="16.5" customHeight="1">
      <c r="B71" s="97" t="s">
        <v>89</v>
      </c>
      <c r="C71" s="93">
        <f>229895698.51</f>
        <v>229895698.51</v>
      </c>
      <c r="D71" s="94"/>
      <c r="E71" s="93">
        <f>341606179.24</f>
        <v>341606179.24</v>
      </c>
      <c r="F71" s="94"/>
      <c r="G71" s="95">
        <f t="shared" si="7"/>
        <v>18.33408328348585</v>
      </c>
      <c r="H71" s="96">
        <f t="shared" si="8"/>
        <v>148.59180987465967</v>
      </c>
    </row>
    <row r="72" spans="2:8" ht="12.75">
      <c r="B72" s="97" t="s">
        <v>90</v>
      </c>
      <c r="C72" s="93">
        <f>0</f>
        <v>0</v>
      </c>
      <c r="D72" s="94"/>
      <c r="E72" s="93">
        <f>0</f>
        <v>0</v>
      </c>
      <c r="F72" s="94"/>
      <c r="G72" s="95">
        <f t="shared" si="7"/>
        <v>0</v>
      </c>
      <c r="H72" s="96">
        <f t="shared" si="8"/>
      </c>
    </row>
    <row r="73" spans="2:8" ht="33.75">
      <c r="B73" s="97" t="s">
        <v>65</v>
      </c>
      <c r="C73" s="93">
        <f>980542291.96</f>
        <v>980542291.96</v>
      </c>
      <c r="D73" s="94"/>
      <c r="E73" s="93">
        <f>1408650406.86</f>
        <v>1408650406.86</v>
      </c>
      <c r="F73" s="94"/>
      <c r="G73" s="95">
        <f t="shared" si="7"/>
        <v>75.6025957555728</v>
      </c>
      <c r="H73" s="96">
        <f t="shared" si="8"/>
        <v>143.66034167116416</v>
      </c>
    </row>
    <row r="74" spans="2:8" ht="12.75">
      <c r="B74" s="92" t="s">
        <v>66</v>
      </c>
      <c r="C74" s="93">
        <f>9689058</f>
        <v>9689058</v>
      </c>
      <c r="D74" s="94"/>
      <c r="E74" s="93">
        <f>7689057.57</f>
        <v>7689057.57</v>
      </c>
      <c r="F74" s="94"/>
      <c r="G74" s="95">
        <f t="shared" si="7"/>
        <v>0.4126735124450301</v>
      </c>
      <c r="H74" s="96">
        <f t="shared" si="8"/>
        <v>79.35815401249533</v>
      </c>
    </row>
    <row r="75" spans="2:8" ht="22.5">
      <c r="B75" s="66" t="s">
        <v>53</v>
      </c>
      <c r="C75" s="58">
        <f>764581129.89</f>
        <v>764581129.89</v>
      </c>
      <c r="D75" s="59"/>
      <c r="E75" s="58">
        <f>421490690.19</f>
        <v>421490690.19</v>
      </c>
      <c r="F75" s="59"/>
      <c r="G75" s="48">
        <f>IF($E$75=0,"",100*$E75/$E$75)</f>
        <v>100</v>
      </c>
      <c r="H75" s="40">
        <f t="shared" si="8"/>
        <v>55.12700663311423</v>
      </c>
    </row>
    <row r="76" spans="2:8" ht="33.75" customHeight="1">
      <c r="B76" s="67" t="s">
        <v>93</v>
      </c>
      <c r="C76" s="49">
        <f>700790577.23</f>
        <v>700790577.23</v>
      </c>
      <c r="D76" s="57"/>
      <c r="E76" s="56">
        <f>310703060.38</f>
        <v>310703060.38</v>
      </c>
      <c r="F76" s="57"/>
      <c r="G76" s="51">
        <f>IF($E$75=0,"",100*$E76/$E$75)</f>
        <v>73.7152842545445</v>
      </c>
      <c r="H76" s="52">
        <f t="shared" si="8"/>
        <v>44.33607849125332</v>
      </c>
    </row>
    <row r="77" spans="2:8" ht="12" customHeight="1">
      <c r="B77" s="97" t="s">
        <v>91</v>
      </c>
      <c r="C77" s="93">
        <f>29110000</f>
        <v>29110000</v>
      </c>
      <c r="D77" s="94"/>
      <c r="E77" s="93">
        <f>0</f>
        <v>0</v>
      </c>
      <c r="F77" s="94"/>
      <c r="G77" s="95">
        <f>IF($E$75=0,"",100*$E77/$E$75)</f>
        <v>0</v>
      </c>
      <c r="H77" s="96">
        <f t="shared" si="8"/>
        <v>0</v>
      </c>
    </row>
    <row r="78" spans="2:8" ht="12.75">
      <c r="B78" s="97" t="s">
        <v>92</v>
      </c>
      <c r="C78" s="93">
        <f>40710016</f>
        <v>40710016</v>
      </c>
      <c r="D78" s="94"/>
      <c r="E78" s="93">
        <f>41194146.98</f>
        <v>41194146.98</v>
      </c>
      <c r="F78" s="94"/>
      <c r="G78" s="95">
        <f>IF($E$75=0,"",100*$E78/$E$75)</f>
        <v>9.773441724520762</v>
      </c>
      <c r="H78" s="96">
        <f t="shared" si="8"/>
        <v>101.18921834862456</v>
      </c>
    </row>
    <row r="79" spans="2:8" ht="12.75">
      <c r="B79" s="68" t="s">
        <v>24</v>
      </c>
      <c r="C79" s="93">
        <f>23080536.66</f>
        <v>23080536.66</v>
      </c>
      <c r="D79" s="94"/>
      <c r="E79" s="93">
        <f>69593482.83</f>
        <v>69593482.83</v>
      </c>
      <c r="F79" s="94"/>
      <c r="G79" s="95">
        <f>IF($E$75=0,"",100*$E79/$E$75)</f>
        <v>16.51127402093474</v>
      </c>
      <c r="H79" s="96">
        <f t="shared" si="8"/>
        <v>301.5245436238483</v>
      </c>
    </row>
    <row r="80" ht="12.75">
      <c r="B80" s="23"/>
    </row>
    <row r="81" spans="2:8" ht="12.75">
      <c r="B81" s="60" t="s">
        <v>16</v>
      </c>
      <c r="C81" s="121" t="s">
        <v>17</v>
      </c>
      <c r="D81" s="122"/>
      <c r="E81" s="121" t="s">
        <v>1</v>
      </c>
      <c r="F81" s="122"/>
      <c r="G81" s="18" t="s">
        <v>22</v>
      </c>
      <c r="H81" s="18" t="s">
        <v>23</v>
      </c>
    </row>
    <row r="82" spans="2:8" ht="12.75">
      <c r="B82" s="60"/>
      <c r="C82" s="113" t="s">
        <v>63</v>
      </c>
      <c r="D82" s="123"/>
      <c r="E82" s="123"/>
      <c r="F82" s="124"/>
      <c r="G82" s="125" t="s">
        <v>4</v>
      </c>
      <c r="H82" s="126"/>
    </row>
    <row r="83" spans="2:8" ht="12.75">
      <c r="B83" s="24">
        <v>1</v>
      </c>
      <c r="C83" s="27">
        <v>2</v>
      </c>
      <c r="D83" s="28"/>
      <c r="E83" s="27">
        <v>3</v>
      </c>
      <c r="F83" s="28"/>
      <c r="G83" s="25">
        <v>4</v>
      </c>
      <c r="H83" s="25">
        <v>5</v>
      </c>
    </row>
    <row r="84" spans="2:8" ht="22.5">
      <c r="B84" s="65" t="s">
        <v>67</v>
      </c>
      <c r="C84" s="53">
        <f>2449155674.96</f>
        <v>2449155674.96</v>
      </c>
      <c r="D84" s="54"/>
      <c r="E84" s="53">
        <f>0</f>
        <v>0</v>
      </c>
      <c r="F84" s="47"/>
      <c r="G84" s="48"/>
      <c r="H84" s="40"/>
    </row>
    <row r="85" spans="2:8" ht="56.25">
      <c r="B85" s="98" t="s">
        <v>68</v>
      </c>
      <c r="C85" s="93">
        <f>51210812.79</f>
        <v>51210812.79</v>
      </c>
      <c r="D85" s="94"/>
      <c r="E85" s="93">
        <f>0</f>
        <v>0</v>
      </c>
      <c r="F85" s="94"/>
      <c r="G85" s="95"/>
      <c r="H85" s="96"/>
    </row>
    <row r="86" spans="2:8" ht="12.75">
      <c r="B86" s="98" t="s">
        <v>69</v>
      </c>
      <c r="C86" s="93">
        <f>1521172919.98</f>
        <v>1521172919.98</v>
      </c>
      <c r="D86" s="94"/>
      <c r="E86" s="93">
        <f>0</f>
        <v>0</v>
      </c>
      <c r="F86" s="94"/>
      <c r="G86" s="95"/>
      <c r="H86" s="96"/>
    </row>
    <row r="87" spans="2:8" ht="22.5">
      <c r="B87" s="98" t="s">
        <v>70</v>
      </c>
      <c r="C87" s="93">
        <f>0</f>
        <v>0</v>
      </c>
      <c r="D87" s="94"/>
      <c r="E87" s="93">
        <f>0</f>
        <v>0</v>
      </c>
      <c r="F87" s="94"/>
      <c r="G87" s="95"/>
      <c r="H87" s="96"/>
    </row>
    <row r="88" spans="2:8" ht="33.75">
      <c r="B88" s="98" t="s">
        <v>71</v>
      </c>
      <c r="C88" s="93">
        <f>191372548.19</f>
        <v>191372548.19</v>
      </c>
      <c r="D88" s="94"/>
      <c r="E88" s="93">
        <f>0</f>
        <v>0</v>
      </c>
      <c r="F88" s="94"/>
      <c r="G88" s="95"/>
      <c r="H88" s="96"/>
    </row>
    <row r="89" spans="2:8" ht="101.25">
      <c r="B89" s="98" t="s">
        <v>72</v>
      </c>
      <c r="C89" s="93">
        <f>685399394</f>
        <v>685399394</v>
      </c>
      <c r="D89" s="94"/>
      <c r="E89" s="93">
        <f>0</f>
        <v>0</v>
      </c>
      <c r="F89" s="94"/>
      <c r="G89" s="95"/>
      <c r="H89" s="96"/>
    </row>
    <row r="90" spans="2:6" ht="12.75">
      <c r="B90" s="60" t="s">
        <v>16</v>
      </c>
      <c r="C90" s="121" t="s">
        <v>96</v>
      </c>
      <c r="D90" s="131"/>
      <c r="E90" s="131"/>
      <c r="F90" s="122"/>
    </row>
    <row r="91" spans="2:6" ht="12.75">
      <c r="B91" s="60"/>
      <c r="C91" s="113" t="s">
        <v>63</v>
      </c>
      <c r="D91" s="123"/>
      <c r="E91" s="123"/>
      <c r="F91" s="124"/>
    </row>
    <row r="92" spans="2:6" ht="12.75">
      <c r="B92" s="24">
        <v>1</v>
      </c>
      <c r="C92" s="103">
        <v>2</v>
      </c>
      <c r="D92" s="104"/>
      <c r="E92" s="104"/>
      <c r="F92" s="105"/>
    </row>
    <row r="93" spans="2:6" ht="56.25">
      <c r="B93" s="65" t="s">
        <v>73</v>
      </c>
      <c r="C93" s="100">
        <f>39104349.28</f>
        <v>39104349.28</v>
      </c>
      <c r="D93" s="101"/>
      <c r="E93" s="101"/>
      <c r="F93" s="102"/>
    </row>
    <row r="94" spans="2:6" ht="33.75">
      <c r="B94" s="64" t="s">
        <v>74</v>
      </c>
      <c r="C94" s="100">
        <f>21018343.46</f>
        <v>21018343.46</v>
      </c>
      <c r="D94" s="101"/>
      <c r="E94" s="101"/>
      <c r="F94" s="102"/>
    </row>
    <row r="95" spans="2:6" ht="36" customHeight="1">
      <c r="B95" s="64" t="s">
        <v>75</v>
      </c>
      <c r="C95" s="100">
        <f>11804704.13</f>
        <v>11804704.13</v>
      </c>
      <c r="D95" s="101"/>
      <c r="E95" s="101"/>
      <c r="F95" s="102"/>
    </row>
    <row r="96" spans="2:6" ht="69" customHeight="1">
      <c r="B96" s="64" t="s">
        <v>76</v>
      </c>
      <c r="C96" s="100">
        <f>6233924</f>
        <v>6233924</v>
      </c>
      <c r="D96" s="101"/>
      <c r="E96" s="101"/>
      <c r="F96" s="102"/>
    </row>
    <row r="97" spans="2:6" ht="45">
      <c r="B97" s="64" t="s">
        <v>77</v>
      </c>
      <c r="C97" s="100">
        <f>0</f>
        <v>0</v>
      </c>
      <c r="D97" s="101"/>
      <c r="E97" s="101"/>
      <c r="F97" s="102"/>
    </row>
    <row r="98" spans="2:6" ht="56.25">
      <c r="B98" s="99" t="s">
        <v>78</v>
      </c>
      <c r="C98" s="100">
        <f>0</f>
        <v>0</v>
      </c>
      <c r="D98" s="101"/>
      <c r="E98" s="101"/>
      <c r="F98" s="102"/>
    </row>
    <row r="99" spans="2:6" ht="45">
      <c r="B99" s="99" t="s">
        <v>79</v>
      </c>
      <c r="C99" s="100">
        <f>0</f>
        <v>0</v>
      </c>
      <c r="D99" s="101"/>
      <c r="E99" s="101"/>
      <c r="F99" s="102"/>
    </row>
    <row r="100" spans="2:6" ht="90">
      <c r="B100" s="99" t="s">
        <v>94</v>
      </c>
      <c r="C100" s="100">
        <f>5430672.53</f>
        <v>5430672.53</v>
      </c>
      <c r="D100" s="101"/>
      <c r="E100" s="101"/>
      <c r="F100" s="102"/>
    </row>
    <row r="101" spans="2:6" ht="90">
      <c r="B101" s="99" t="s">
        <v>95</v>
      </c>
      <c r="C101" s="100">
        <f>2614622.03</f>
        <v>2614622.03</v>
      </c>
      <c r="D101" s="101"/>
      <c r="E101" s="101"/>
      <c r="F101" s="102"/>
    </row>
  </sheetData>
  <sheetProtection/>
  <mergeCells count="52">
    <mergeCell ref="C91:F91"/>
    <mergeCell ref="C81:D81"/>
    <mergeCell ref="E81:F81"/>
    <mergeCell ref="C82:F82"/>
    <mergeCell ref="G82:H82"/>
    <mergeCell ref="C90:F90"/>
    <mergeCell ref="L39:L41"/>
    <mergeCell ref="B2:B3"/>
    <mergeCell ref="C39:C41"/>
    <mergeCell ref="B39:B42"/>
    <mergeCell ref="K39:K41"/>
    <mergeCell ref="K42:L42"/>
    <mergeCell ref="F3:H3"/>
    <mergeCell ref="B37:M37"/>
    <mergeCell ref="C42:J42"/>
    <mergeCell ref="C3:E3"/>
    <mergeCell ref="C64:D64"/>
    <mergeCell ref="E64:F64"/>
    <mergeCell ref="C65:F65"/>
    <mergeCell ref="G65:H65"/>
    <mergeCell ref="I43:J43"/>
    <mergeCell ref="B1:M1"/>
    <mergeCell ref="B63:M63"/>
    <mergeCell ref="I39:J41"/>
    <mergeCell ref="D39:D41"/>
    <mergeCell ref="E39:E41"/>
    <mergeCell ref="F40:F41"/>
    <mergeCell ref="F39:H39"/>
    <mergeCell ref="G40:H40"/>
    <mergeCell ref="I48:J48"/>
    <mergeCell ref="I50:J50"/>
    <mergeCell ref="I51:J51"/>
    <mergeCell ref="I44:J44"/>
    <mergeCell ref="I45:J45"/>
    <mergeCell ref="I46:J46"/>
    <mergeCell ref="I47:J47"/>
    <mergeCell ref="I52:J52"/>
    <mergeCell ref="I53:J53"/>
    <mergeCell ref="I55:J55"/>
    <mergeCell ref="I56:J56"/>
    <mergeCell ref="I54:J54"/>
    <mergeCell ref="I49:J49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97:F97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2" max="255" man="1"/>
    <brk id="89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2018-08-22T13:25:47Z</dcterms:modified>
  <cp:category/>
  <cp:version/>
  <cp:contentType/>
  <cp:contentStatus/>
</cp:coreProperties>
</file>