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4220" windowHeight="8835" activeTab="0"/>
  </bookViews>
  <sheets>
    <sheet name="doch_wyd" sheetId="1" r:id="rId1"/>
  </sheets>
  <definedNames/>
  <calcPr fullCalcOnLoad="1"/>
</workbook>
</file>

<file path=xl/comments1.xml><?xml version="1.0" encoding="utf-8"?>
<comments xmlns="http://schemas.openxmlformats.org/spreadsheetml/2006/main">
  <authors>
    <author>Michał Chmielewski</author>
  </authors>
  <commentList>
    <comment ref="J44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I45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I46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I47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I48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I49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I50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I51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I52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I53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I54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I58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I59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I60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</commentList>
</comments>
</file>

<file path=xl/sharedStrings.xml><?xml version="1.0" encoding="utf-8"?>
<sst xmlns="http://schemas.openxmlformats.org/spreadsheetml/2006/main" count="175" uniqueCount="64">
  <si>
    <t xml:space="preserve">Wyszczególnienie </t>
  </si>
  <si>
    <t xml:space="preserve">Struktura </t>
  </si>
  <si>
    <t>Struktura dochodów  własnych</t>
  </si>
  <si>
    <t>w %%</t>
  </si>
  <si>
    <t>DOCHODY OGÓŁEM</t>
  </si>
  <si>
    <t>w tym:   inwestycyjne</t>
  </si>
  <si>
    <t xml:space="preserve">na zadania własne </t>
  </si>
  <si>
    <t>otrzymane z funduszy celowych</t>
  </si>
  <si>
    <t>na zadania z zakresu adm. rządowej</t>
  </si>
  <si>
    <t xml:space="preserve">na zadania realizowane na podstawie porozumień  z org. adm. rządowej </t>
  </si>
  <si>
    <t>na zadania realizowane na podstawie porozumień między jst</t>
  </si>
  <si>
    <t>Zobowiązania wg stanu na koniec 
okresu sprawozdawczego</t>
  </si>
  <si>
    <t>w tym:   wydatki na inwestycje</t>
  </si>
  <si>
    <t xml:space="preserve">wydatki majątkowe      </t>
  </si>
  <si>
    <t xml:space="preserve">WYNIK  </t>
  </si>
  <si>
    <t>Wskaźnik 
(3:2)</t>
  </si>
  <si>
    <t xml:space="preserve">podatek dochodowy od osób fizycznych </t>
  </si>
  <si>
    <t>dochody z majątku</t>
  </si>
  <si>
    <t xml:space="preserve">pozostałe dochody </t>
  </si>
  <si>
    <t>w tym wymagalne:</t>
  </si>
  <si>
    <t xml:space="preserve">podatek dochodowy od osób prawnych </t>
  </si>
  <si>
    <t>Wskaźnik 
(4:2)</t>
  </si>
  <si>
    <r>
      <t xml:space="preserve">Plan 
(po zmianach)
</t>
    </r>
    <r>
      <rPr>
        <b/>
        <sz val="10"/>
        <color indexed="8"/>
        <rFont val="Arial"/>
        <family val="2"/>
      </rPr>
      <t>R1</t>
    </r>
  </si>
  <si>
    <r>
      <t xml:space="preserve">Dochody 
wykonane
(wpływy minus zwroty) 
</t>
    </r>
    <r>
      <rPr>
        <b/>
        <sz val="10"/>
        <color indexed="8"/>
        <rFont val="Arial"/>
        <family val="2"/>
      </rPr>
      <t>R4</t>
    </r>
  </si>
  <si>
    <r>
      <t xml:space="preserve">Dochody 
otrzymane
</t>
    </r>
    <r>
      <rPr>
        <b/>
        <sz val="10"/>
        <color indexed="8"/>
        <rFont val="Arial"/>
        <family val="2"/>
      </rPr>
      <t>R9</t>
    </r>
  </si>
  <si>
    <t>uzupełnienie subwencji ogólnej</t>
  </si>
  <si>
    <t>część oświatowa</t>
  </si>
  <si>
    <t>część wyrównawcza</t>
  </si>
  <si>
    <t>pozostałe wydatki</t>
  </si>
  <si>
    <t>wydatki na obsługę długu</t>
  </si>
  <si>
    <t>dotacje</t>
  </si>
  <si>
    <r>
      <t xml:space="preserve">powstałe w latach ubiegłych
</t>
    </r>
    <r>
      <rPr>
        <b/>
        <sz val="10"/>
        <rFont val="Arial"/>
        <family val="2"/>
      </rPr>
      <t>R12U</t>
    </r>
  </si>
  <si>
    <r>
      <t xml:space="preserve">powstałe w roku bieżącym
</t>
    </r>
    <r>
      <rPr>
        <b/>
        <sz val="10"/>
        <rFont val="Arial"/>
        <family val="2"/>
      </rPr>
      <t>R12B</t>
    </r>
  </si>
  <si>
    <r>
      <t xml:space="preserve">Plan 
(po zmianach)
</t>
    </r>
    <r>
      <rPr>
        <b/>
        <sz val="10"/>
        <rFont val="Arial"/>
        <family val="2"/>
      </rPr>
      <t>R1</t>
    </r>
  </si>
  <si>
    <r>
      <t xml:space="preserve">Zaangażowanie
</t>
    </r>
    <r>
      <rPr>
        <b/>
        <sz val="10"/>
        <rFont val="Arial"/>
        <family val="2"/>
      </rPr>
      <t>R10</t>
    </r>
  </si>
  <si>
    <r>
      <t xml:space="preserve">Wydatki
 wykonane
</t>
    </r>
    <r>
      <rPr>
        <b/>
        <sz val="10"/>
        <rFont val="Arial"/>
        <family val="2"/>
      </rPr>
      <t>R4</t>
    </r>
  </si>
  <si>
    <r>
      <t xml:space="preserve">ogółem
</t>
    </r>
    <r>
      <rPr>
        <b/>
        <sz val="10"/>
        <rFont val="Arial"/>
        <family val="2"/>
      </rPr>
      <t>R11</t>
    </r>
  </si>
  <si>
    <t>część regionalna</t>
  </si>
  <si>
    <t>Razem dochody własne 
z tego:</t>
  </si>
  <si>
    <t>Subwencja ogólna 
z tego:</t>
  </si>
  <si>
    <t>WYDATKI OGÓŁEM 
z tego:</t>
  </si>
  <si>
    <t>wydatki bieżące 
z tego:</t>
  </si>
  <si>
    <t>wydatki z tytułu udzielania poręczeń i gwarancji</t>
  </si>
  <si>
    <t>świadczenia na rzecz osób fizycznych</t>
  </si>
  <si>
    <t>Dotacje §§ 200 i 620</t>
  </si>
  <si>
    <t>w tym: inwestycyjne § 620</t>
  </si>
  <si>
    <t>majątkowe</t>
  </si>
  <si>
    <t>bieżace</t>
  </si>
  <si>
    <t>UE</t>
  </si>
  <si>
    <t>wydatki majątkowe</t>
  </si>
  <si>
    <t>wydatki bieżące</t>
  </si>
  <si>
    <t>w złotych</t>
  </si>
  <si>
    <t xml:space="preserve">Dochody Ogółem </t>
  </si>
  <si>
    <t>z tytułu pomocy finansowej udzielanej między jst na dofinansowanie własnych zadań</t>
  </si>
  <si>
    <t>Dotacje §§ 205 i 625</t>
  </si>
  <si>
    <t>w tym: inwestycyjne § 625</t>
  </si>
  <si>
    <r>
      <t xml:space="preserve">Wydatki, które nie wygasły 
z upływem roku budżetowego) 
(art.263 ust. 2 ustawy 
o finansach publicznych) 
</t>
    </r>
    <r>
      <rPr>
        <b/>
        <sz val="10"/>
        <rFont val="Arial"/>
        <family val="2"/>
      </rPr>
      <t>R9</t>
    </r>
  </si>
  <si>
    <t>Dochody bieżace            minus                                                  wydatki bieżące</t>
  </si>
  <si>
    <t>Wydatki Ogółem UE                                         z tego:</t>
  </si>
  <si>
    <t>Dotacje ogółem       z tego:</t>
  </si>
  <si>
    <t>Dotacje celowe        z tego:</t>
  </si>
  <si>
    <t>#</t>
  </si>
  <si>
    <t>wydatki na wynagrodzenia i pochodne od wynagrodzeń</t>
  </si>
  <si>
    <t>Informacja z wykonania budżetów województw za GRUDZIEŃ rok    2019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</si>
</sst>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dd/mm/yy\ h:mm;@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56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sz val="9.5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 CE"/>
      <family val="0"/>
    </font>
    <font>
      <b/>
      <sz val="12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8"/>
      <name val="Arial CE"/>
      <family val="2"/>
    </font>
  </fonts>
  <fills count="51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2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3" borderId="0" applyNumberFormat="0" applyBorder="0" applyAlignment="0" applyProtection="0"/>
    <xf numFmtId="0" fontId="15" fillId="14" borderId="0" applyNumberFormat="0" applyBorder="0" applyAlignment="0" applyProtection="0"/>
    <xf numFmtId="0" fontId="15" fillId="13" borderId="0" applyNumberFormat="0" applyBorder="0" applyAlignment="0" applyProtection="0"/>
    <xf numFmtId="0" fontId="15" fillId="15" borderId="0" applyNumberFormat="0" applyBorder="0" applyAlignment="0" applyProtection="0"/>
    <xf numFmtId="0" fontId="15" fillId="6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3" borderId="0" applyNumberFormat="0" applyBorder="0" applyAlignment="0" applyProtection="0"/>
    <xf numFmtId="0" fontId="16" fillId="14" borderId="0" applyNumberFormat="0" applyBorder="0" applyAlignment="0" applyProtection="0"/>
    <xf numFmtId="0" fontId="16" fillId="13" borderId="0" applyNumberFormat="0" applyBorder="0" applyAlignment="0" applyProtection="0"/>
    <xf numFmtId="0" fontId="16" fillId="22" borderId="0" applyNumberFormat="0" applyBorder="0" applyAlignment="0" applyProtection="0"/>
    <xf numFmtId="0" fontId="16" fillId="6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16" fillId="22" borderId="0" applyNumberFormat="0" applyBorder="0" applyAlignment="0" applyProtection="0"/>
    <xf numFmtId="0" fontId="16" fillId="29" borderId="0" applyNumberFormat="0" applyBorder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16" fillId="22" borderId="0" applyNumberFormat="0" applyBorder="0" applyAlignment="0" applyProtection="0"/>
    <xf numFmtId="0" fontId="16" fillId="32" borderId="0" applyNumberFormat="0" applyBorder="0" applyAlignment="0" applyProtection="0"/>
    <xf numFmtId="0" fontId="39" fillId="33" borderId="0" applyNumberFormat="0" applyBorder="0" applyAlignment="0" applyProtection="0"/>
    <xf numFmtId="0" fontId="39" fillId="34" borderId="0" applyNumberFormat="0" applyBorder="0" applyAlignment="0" applyProtection="0"/>
    <xf numFmtId="0" fontId="39" fillId="35" borderId="0" applyNumberFormat="0" applyBorder="0" applyAlignment="0" applyProtection="0"/>
    <xf numFmtId="0" fontId="39" fillId="36" borderId="0" applyNumberFormat="0" applyBorder="0" applyAlignment="0" applyProtection="0"/>
    <xf numFmtId="0" fontId="39" fillId="37" borderId="0" applyNumberFormat="0" applyBorder="0" applyAlignment="0" applyProtection="0"/>
    <xf numFmtId="0" fontId="39" fillId="38" borderId="0" applyNumberFormat="0" applyBorder="0" applyAlignment="0" applyProtection="0"/>
    <xf numFmtId="0" fontId="17" fillId="39" borderId="0" applyNumberFormat="0" applyBorder="0" applyAlignment="0" applyProtection="0"/>
    <xf numFmtId="0" fontId="18" fillId="40" borderId="1" applyNumberFormat="0" applyAlignment="0" applyProtection="0"/>
    <xf numFmtId="0" fontId="19" fillId="41" borderId="2" applyNumberFormat="0" applyAlignment="0" applyProtection="0"/>
    <xf numFmtId="0" fontId="40" fillId="42" borderId="3" applyNumberFormat="0" applyAlignment="0" applyProtection="0"/>
    <xf numFmtId="0" fontId="41" fillId="43" borderId="4" applyNumberFormat="0" applyAlignment="0" applyProtection="0"/>
    <xf numFmtId="0" fontId="42" fillId="4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45" borderId="0" applyNumberFormat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6" borderId="1" applyNumberFormat="0" applyAlignment="0" applyProtection="0"/>
    <xf numFmtId="0" fontId="43" fillId="0" borderId="8" applyNumberFormat="0" applyFill="0" applyAlignment="0" applyProtection="0"/>
    <xf numFmtId="0" fontId="44" fillId="46" borderId="9" applyNumberFormat="0" applyAlignment="0" applyProtection="0"/>
    <xf numFmtId="0" fontId="26" fillId="0" borderId="10" applyNumberFormat="0" applyFill="0" applyAlignment="0" applyProtection="0"/>
    <xf numFmtId="0" fontId="45" fillId="0" borderId="11" applyNumberFormat="0" applyFill="0" applyAlignment="0" applyProtection="0"/>
    <xf numFmtId="0" fontId="46" fillId="0" borderId="12" applyNumberFormat="0" applyFill="0" applyAlignment="0" applyProtection="0"/>
    <xf numFmtId="0" fontId="47" fillId="0" borderId="13" applyNumberFormat="0" applyFill="0" applyAlignment="0" applyProtection="0"/>
    <xf numFmtId="0" fontId="47" fillId="0" borderId="0" applyNumberFormat="0" applyFill="0" applyBorder="0" applyAlignment="0" applyProtection="0"/>
    <xf numFmtId="0" fontId="27" fillId="14" borderId="0" applyNumberFormat="0" applyBorder="0" applyAlignment="0" applyProtection="0"/>
    <xf numFmtId="0" fontId="48" fillId="47" borderId="0" applyNumberFormat="0" applyBorder="0" applyAlignment="0" applyProtection="0"/>
    <xf numFmtId="0" fontId="38" fillId="0" borderId="0">
      <alignment/>
      <protection/>
    </xf>
    <xf numFmtId="0" fontId="38" fillId="0" borderId="0">
      <alignment/>
      <protection/>
    </xf>
    <xf numFmtId="0" fontId="5" fillId="0" borderId="0" applyNumberFormat="0" applyFill="0" applyBorder="0" applyAlignment="0" applyProtection="0"/>
    <xf numFmtId="0" fontId="0" fillId="0" borderId="0">
      <alignment/>
      <protection/>
    </xf>
    <xf numFmtId="0" fontId="0" fillId="4" borderId="14" applyNumberFormat="0" applyFont="0" applyAlignment="0" applyProtection="0"/>
    <xf numFmtId="0" fontId="0" fillId="4" borderId="14" applyNumberFormat="0" applyFont="0" applyAlignment="0" applyProtection="0"/>
    <xf numFmtId="0" fontId="0" fillId="4" borderId="14" applyNumberFormat="0" applyFont="0" applyAlignment="0" applyProtection="0"/>
    <xf numFmtId="0" fontId="49" fillId="43" borderId="3" applyNumberFormat="0" applyAlignment="0" applyProtection="0"/>
    <xf numFmtId="0" fontId="2" fillId="0" borderId="0" applyNumberFormat="0" applyFill="0" applyBorder="0" applyAlignment="0" applyProtection="0"/>
    <xf numFmtId="0" fontId="28" fillId="40" borderId="15" applyNumberFormat="0" applyAlignment="0" applyProtection="0"/>
    <xf numFmtId="9" fontId="0" fillId="0" borderId="0" applyFont="0" applyFill="0" applyBorder="0" applyAlignment="0" applyProtection="0"/>
    <xf numFmtId="0" fontId="50" fillId="0" borderId="16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7" applyNumberFormat="0" applyFill="0" applyAlignment="0" applyProtection="0"/>
    <xf numFmtId="0" fontId="53" fillId="0" borderId="0" applyNumberFormat="0" applyFill="0" applyBorder="0" applyAlignment="0" applyProtection="0"/>
    <xf numFmtId="0" fontId="0" fillId="48" borderId="18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4" fillId="49" borderId="0" applyNumberFormat="0" applyBorder="0" applyAlignment="0" applyProtection="0"/>
  </cellStyleXfs>
  <cellXfs count="73">
    <xf numFmtId="0" fontId="0" fillId="0" borderId="0" xfId="0" applyAlignment="1">
      <alignment/>
    </xf>
    <xf numFmtId="0" fontId="3" fillId="0" borderId="0" xfId="0" applyFont="1" applyAlignment="1">
      <alignment/>
    </xf>
    <xf numFmtId="0" fontId="7" fillId="0" borderId="0" xfId="0" applyFont="1" applyFill="1" applyAlignment="1">
      <alignment horizontal="left" vertical="center"/>
    </xf>
    <xf numFmtId="164" fontId="3" fillId="0" borderId="0" xfId="0" applyNumberFormat="1" applyFont="1" applyFill="1" applyAlignment="1">
      <alignment/>
    </xf>
    <xf numFmtId="0" fontId="9" fillId="0" borderId="0" xfId="0" applyFont="1" applyFill="1" applyAlignment="1">
      <alignment vertical="center"/>
    </xf>
    <xf numFmtId="0" fontId="3" fillId="0" borderId="0" xfId="0" applyFont="1" applyFill="1" applyAlignment="1">
      <alignment/>
    </xf>
    <xf numFmtId="0" fontId="6" fillId="0" borderId="0" xfId="0" applyFont="1" applyFill="1" applyBorder="1" applyAlignment="1">
      <alignment horizontal="left" vertical="center"/>
    </xf>
    <xf numFmtId="3" fontId="6" fillId="0" borderId="0" xfId="0" applyNumberFormat="1" applyFont="1" applyFill="1" applyBorder="1" applyAlignment="1">
      <alignment horizontal="left" vertical="center"/>
    </xf>
    <xf numFmtId="3" fontId="6" fillId="0" borderId="0" xfId="0" applyNumberFormat="1" applyFont="1" applyFill="1" applyBorder="1" applyAlignment="1">
      <alignment horizontal="right" vertical="center"/>
    </xf>
    <xf numFmtId="164" fontId="6" fillId="0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/>
    </xf>
    <xf numFmtId="0" fontId="5" fillId="0" borderId="19" xfId="0" applyFont="1" applyBorder="1" applyAlignment="1">
      <alignment horizontal="left" vertical="center" wrapText="1" indent="1"/>
    </xf>
    <xf numFmtId="164" fontId="7" fillId="0" borderId="0" xfId="0" applyNumberFormat="1" applyFont="1" applyAlignment="1">
      <alignment/>
    </xf>
    <xf numFmtId="164" fontId="7" fillId="0" borderId="0" xfId="0" applyNumberFormat="1" applyFont="1" applyFill="1" applyAlignment="1">
      <alignment/>
    </xf>
    <xf numFmtId="4" fontId="5" fillId="0" borderId="19" xfId="0" applyNumberFormat="1" applyFont="1" applyBorder="1" applyAlignment="1">
      <alignment horizontal="right" vertical="center"/>
    </xf>
    <xf numFmtId="4" fontId="5" fillId="0" borderId="19" xfId="0" applyNumberFormat="1" applyFont="1" applyFill="1" applyBorder="1" applyAlignment="1">
      <alignment horizontal="right" vertical="center"/>
    </xf>
    <xf numFmtId="4" fontId="13" fillId="40" borderId="19" xfId="0" applyNumberFormat="1" applyFont="1" applyFill="1" applyBorder="1" applyAlignment="1">
      <alignment horizontal="right" vertical="center"/>
    </xf>
    <xf numFmtId="4" fontId="5" fillId="40" borderId="19" xfId="0" applyNumberFormat="1" applyFont="1" applyFill="1" applyBorder="1" applyAlignment="1">
      <alignment horizontal="right" vertical="center" wrapText="1"/>
    </xf>
    <xf numFmtId="4" fontId="7" fillId="0" borderId="0" xfId="0" applyNumberFormat="1" applyFont="1" applyBorder="1" applyAlignment="1">
      <alignment horizontal="right" vertical="center"/>
    </xf>
    <xf numFmtId="164" fontId="7" fillId="0" borderId="0" xfId="0" applyNumberFormat="1" applyFont="1" applyAlignment="1">
      <alignment horizontal="right" vertical="center"/>
    </xf>
    <xf numFmtId="164" fontId="7" fillId="0" borderId="0" xfId="0" applyNumberFormat="1" applyFont="1" applyFill="1" applyAlignment="1">
      <alignment horizontal="right" vertical="center"/>
    </xf>
    <xf numFmtId="0" fontId="5" fillId="0" borderId="19" xfId="0" applyFont="1" applyBorder="1" applyAlignment="1">
      <alignment horizontal="left" vertical="center" wrapText="1" indent="2"/>
    </xf>
    <xf numFmtId="0" fontId="5" fillId="0" borderId="19" xfId="0" applyFont="1" applyFill="1" applyBorder="1" applyAlignment="1">
      <alignment horizontal="left" vertical="center" wrapText="1" indent="1"/>
    </xf>
    <xf numFmtId="164" fontId="13" fillId="40" borderId="19" xfId="0" applyNumberFormat="1" applyFont="1" applyFill="1" applyBorder="1" applyAlignment="1">
      <alignment horizontal="right" vertical="center"/>
    </xf>
    <xf numFmtId="164" fontId="5" fillId="0" borderId="19" xfId="0" applyNumberFormat="1" applyFont="1" applyFill="1" applyBorder="1" applyAlignment="1">
      <alignment horizontal="right" vertical="center"/>
    </xf>
    <xf numFmtId="164" fontId="12" fillId="40" borderId="19" xfId="0" applyNumberFormat="1" applyFont="1" applyFill="1" applyBorder="1" applyAlignment="1">
      <alignment horizontal="right" vertical="center"/>
    </xf>
    <xf numFmtId="164" fontId="7" fillId="0" borderId="19" xfId="0" applyNumberFormat="1" applyFont="1" applyBorder="1" applyAlignment="1">
      <alignment horizontal="right" vertical="center"/>
    </xf>
    <xf numFmtId="0" fontId="7" fillId="0" borderId="0" xfId="0" applyFont="1" applyAlignment="1">
      <alignment/>
    </xf>
    <xf numFmtId="164" fontId="12" fillId="50" borderId="19" xfId="0" applyNumberFormat="1" applyFont="1" applyFill="1" applyBorder="1" applyAlignment="1">
      <alignment horizontal="right" vertical="center"/>
    </xf>
    <xf numFmtId="0" fontId="13" fillId="40" borderId="19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 vertical="center"/>
    </xf>
    <xf numFmtId="164" fontId="5" fillId="0" borderId="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top" wrapText="1"/>
    </xf>
    <xf numFmtId="3" fontId="5" fillId="0" borderId="19" xfId="0" applyNumberFormat="1" applyFont="1" applyBorder="1" applyAlignment="1">
      <alignment horizontal="right" vertical="center"/>
    </xf>
    <xf numFmtId="164" fontId="7" fillId="0" borderId="19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13" fillId="0" borderId="0" xfId="0" applyFont="1" applyBorder="1" applyAlignment="1">
      <alignment horizontal="left" vertical="center"/>
    </xf>
    <xf numFmtId="3" fontId="13" fillId="0" borderId="0" xfId="0" applyNumberFormat="1" applyFont="1" applyBorder="1" applyAlignment="1">
      <alignment horizontal="right" vertical="center"/>
    </xf>
    <xf numFmtId="0" fontId="13" fillId="0" borderId="20" xfId="0" applyFont="1" applyBorder="1" applyAlignment="1">
      <alignment horizontal="center" vertical="center"/>
    </xf>
    <xf numFmtId="0" fontId="13" fillId="50" borderId="19" xfId="0" applyFont="1" applyFill="1" applyBorder="1" applyAlignment="1">
      <alignment horizontal="left" vertical="center" wrapText="1"/>
    </xf>
    <xf numFmtId="4" fontId="13" fillId="50" borderId="19" xfId="0" applyNumberFormat="1" applyFont="1" applyFill="1" applyBorder="1" applyAlignment="1">
      <alignment horizontal="right" vertical="center"/>
    </xf>
    <xf numFmtId="164" fontId="13" fillId="50" borderId="19" xfId="0" applyNumberFormat="1" applyFont="1" applyFill="1" applyBorder="1" applyAlignment="1">
      <alignment horizontal="right" vertical="center"/>
    </xf>
    <xf numFmtId="4" fontId="7" fillId="0" borderId="19" xfId="0" applyNumberFormat="1" applyFont="1" applyFill="1" applyBorder="1" applyAlignment="1">
      <alignment horizontal="right" vertical="center"/>
    </xf>
    <xf numFmtId="164" fontId="5" fillId="0" borderId="0" xfId="0" applyNumberFormat="1" applyFont="1" applyFill="1" applyBorder="1" applyAlignment="1">
      <alignment horizontal="right" vertical="center"/>
    </xf>
    <xf numFmtId="4" fontId="5" fillId="50" borderId="19" xfId="0" applyNumberFormat="1" applyFont="1" applyFill="1" applyBorder="1" applyAlignment="1">
      <alignment horizontal="right" vertical="center"/>
    </xf>
    <xf numFmtId="164" fontId="5" fillId="50" borderId="19" xfId="0" applyNumberFormat="1" applyFont="1" applyFill="1" applyBorder="1" applyAlignment="1">
      <alignment horizontal="right" vertical="center"/>
    </xf>
    <xf numFmtId="0" fontId="5" fillId="0" borderId="19" xfId="0" applyFont="1" applyFill="1" applyBorder="1" applyAlignment="1">
      <alignment horizontal="left" vertical="center" wrapText="1" indent="2"/>
    </xf>
    <xf numFmtId="0" fontId="13" fillId="50" borderId="19" xfId="0" applyFont="1" applyFill="1" applyBorder="1" applyAlignment="1">
      <alignment horizontal="left" vertical="center" wrapText="1" indent="1"/>
    </xf>
    <xf numFmtId="4" fontId="12" fillId="50" borderId="19" xfId="0" applyNumberFormat="1" applyFont="1" applyFill="1" applyBorder="1" applyAlignment="1">
      <alignment horizontal="right" vertical="center"/>
    </xf>
    <xf numFmtId="4" fontId="5" fillId="0" borderId="19" xfId="0" applyNumberFormat="1" applyFont="1" applyFill="1" applyBorder="1" applyAlignment="1">
      <alignment horizontal="right" vertical="center" wrapText="1"/>
    </xf>
    <xf numFmtId="164" fontId="7" fillId="0" borderId="19" xfId="0" applyNumberFormat="1" applyFont="1" applyFill="1" applyBorder="1" applyAlignment="1">
      <alignment horizontal="right" vertical="center"/>
    </xf>
    <xf numFmtId="0" fontId="7" fillId="0" borderId="19" xfId="0" applyFont="1" applyFill="1" applyBorder="1" applyAlignment="1">
      <alignment/>
    </xf>
    <xf numFmtId="0" fontId="13" fillId="50" borderId="21" xfId="0" applyFont="1" applyFill="1" applyBorder="1" applyAlignment="1">
      <alignment horizontal="left" vertical="top" wrapText="1"/>
    </xf>
    <xf numFmtId="4" fontId="12" fillId="50" borderId="19" xfId="0" applyNumberFormat="1" applyFont="1" applyFill="1" applyBorder="1" applyAlignment="1">
      <alignment horizontal="right" vertical="center"/>
    </xf>
    <xf numFmtId="0" fontId="5" fillId="2" borderId="19" xfId="0" applyFont="1" applyFill="1" applyBorder="1" applyAlignment="1">
      <alignment horizontal="center" vertical="center"/>
    </xf>
    <xf numFmtId="0" fontId="7" fillId="2" borderId="22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/>
    </xf>
    <xf numFmtId="4" fontId="12" fillId="50" borderId="19" xfId="0" applyNumberFormat="1" applyFont="1" applyFill="1" applyBorder="1" applyAlignment="1">
      <alignment horizontal="right" vertical="center"/>
    </xf>
    <xf numFmtId="0" fontId="33" fillId="0" borderId="0" xfId="0" applyFont="1" applyAlignment="1">
      <alignment horizontal="center" vertical="center"/>
    </xf>
    <xf numFmtId="0" fontId="7" fillId="2" borderId="23" xfId="0" applyFont="1" applyFill="1" applyBorder="1" applyAlignment="1">
      <alignment horizontal="center" vertical="center"/>
    </xf>
    <xf numFmtId="164" fontId="7" fillId="0" borderId="22" xfId="0" applyNumberFormat="1" applyFont="1" applyBorder="1" applyAlignment="1">
      <alignment vertical="center" wrapText="1"/>
    </xf>
    <xf numFmtId="0" fontId="32" fillId="0" borderId="23" xfId="0" applyFont="1" applyBorder="1" applyAlignment="1">
      <alignment vertical="center" wrapText="1"/>
    </xf>
  </cellXfs>
  <cellStyles count="10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akcent 1" xfId="21"/>
    <cellStyle name="20% — akcent 2" xfId="22"/>
    <cellStyle name="20% — akcent 3" xfId="23"/>
    <cellStyle name="20% — akcent 4" xfId="24"/>
    <cellStyle name="20% — akcent 5" xfId="25"/>
    <cellStyle name="20% — akcent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akcent 1" xfId="33"/>
    <cellStyle name="40% — akcent 2" xfId="34"/>
    <cellStyle name="40% — akcent 3" xfId="35"/>
    <cellStyle name="40% — akcent 4" xfId="36"/>
    <cellStyle name="40% — akcent 5" xfId="37"/>
    <cellStyle name="40% — akcent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akcent 1" xfId="45"/>
    <cellStyle name="60% — akcent 2" xfId="46"/>
    <cellStyle name="60% — akcent 3" xfId="47"/>
    <cellStyle name="60% — akcent 4" xfId="48"/>
    <cellStyle name="60% — akcent 5" xfId="49"/>
    <cellStyle name="60% — akcent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kcent 1" xfId="57"/>
    <cellStyle name="Akcent 2" xfId="58"/>
    <cellStyle name="Akcent 3" xfId="59"/>
    <cellStyle name="Akcent 4" xfId="60"/>
    <cellStyle name="Akcent 5" xfId="61"/>
    <cellStyle name="Akcent 6" xfId="62"/>
    <cellStyle name="Bad" xfId="63"/>
    <cellStyle name="Calculation" xfId="64"/>
    <cellStyle name="Check Cell" xfId="65"/>
    <cellStyle name="Dane wejściowe" xfId="66"/>
    <cellStyle name="Dane wyjściowe" xfId="67"/>
    <cellStyle name="Dobry" xfId="68"/>
    <cellStyle name="Comma" xfId="69"/>
    <cellStyle name="Comma [0]" xfId="70"/>
    <cellStyle name="Dziesiętny 2" xfId="71"/>
    <cellStyle name="Dziesiętny 2 2" xfId="72"/>
    <cellStyle name="Dziesiętny 2 3" xfId="73"/>
    <cellStyle name="Dziesiętny 3" xfId="74"/>
    <cellStyle name="Dziesiętny 3 2" xfId="75"/>
    <cellStyle name="Explanatory Text" xfId="76"/>
    <cellStyle name="Good" xfId="77"/>
    <cellStyle name="Heading 1" xfId="78"/>
    <cellStyle name="Heading 2" xfId="79"/>
    <cellStyle name="Heading 3" xfId="80"/>
    <cellStyle name="Heading 4" xfId="81"/>
    <cellStyle name="Hyperlink" xfId="82"/>
    <cellStyle name="Input" xfId="83"/>
    <cellStyle name="Komórka połączona" xfId="84"/>
    <cellStyle name="Komórka zaznaczona" xfId="85"/>
    <cellStyle name="Linked Cell" xfId="86"/>
    <cellStyle name="Nagłówek 1" xfId="87"/>
    <cellStyle name="Nagłówek 2" xfId="88"/>
    <cellStyle name="Nagłówek 3" xfId="89"/>
    <cellStyle name="Nagłówek 4" xfId="90"/>
    <cellStyle name="Neutral" xfId="91"/>
    <cellStyle name="Neutralny" xfId="92"/>
    <cellStyle name="Normalny 2" xfId="93"/>
    <cellStyle name="Normalny 2 2" xfId="94"/>
    <cellStyle name="Normalny 2 3" xfId="95"/>
    <cellStyle name="Normalny 3" xfId="96"/>
    <cellStyle name="Note" xfId="97"/>
    <cellStyle name="Note 2" xfId="98"/>
    <cellStyle name="Note 3" xfId="99"/>
    <cellStyle name="Obliczenia" xfId="100"/>
    <cellStyle name="Followed Hyperlink" xfId="101"/>
    <cellStyle name="Output" xfId="102"/>
    <cellStyle name="Percent" xfId="103"/>
    <cellStyle name="Suma" xfId="104"/>
    <cellStyle name="Tekst objaśnienia" xfId="105"/>
    <cellStyle name="Tekst ostrzeżenia" xfId="106"/>
    <cellStyle name="Title" xfId="107"/>
    <cellStyle name="Total" xfId="108"/>
    <cellStyle name="Tytuł" xfId="109"/>
    <cellStyle name="Uwaga" xfId="110"/>
    <cellStyle name="Currency" xfId="111"/>
    <cellStyle name="Currency [0]" xfId="112"/>
    <cellStyle name="Warning Text" xfId="113"/>
    <cellStyle name="Zły" xfId="11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5F5F5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CDCD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AA60"/>
  <sheetViews>
    <sheetView tabSelected="1" workbookViewId="0" topLeftCell="B1">
      <selection activeCell="B5" sqref="B5"/>
    </sheetView>
  </sheetViews>
  <sheetFormatPr defaultColWidth="9.00390625" defaultRowHeight="12.75"/>
  <cols>
    <col min="1" max="1" width="5.75390625" style="1" hidden="1" customWidth="1"/>
    <col min="2" max="2" width="23.875" style="1" customWidth="1"/>
    <col min="3" max="5" width="14.625" style="1" customWidth="1"/>
    <col min="6" max="6" width="13.875" style="1" customWidth="1"/>
    <col min="7" max="10" width="13.00390625" style="1" customWidth="1"/>
    <col min="11" max="11" width="7.375" style="1" customWidth="1"/>
    <col min="12" max="12" width="7.25390625" style="1" customWidth="1"/>
    <col min="13" max="13" width="8.125" style="1" hidden="1" customWidth="1"/>
    <col min="14" max="16384" width="9.125" style="1" customWidth="1"/>
  </cols>
  <sheetData>
    <row r="1" spans="2:13" ht="18" customHeight="1">
      <c r="B1" s="69" t="s">
        <v>63</v>
      </c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</row>
    <row r="2" spans="2:8" ht="60" customHeight="1">
      <c r="B2" s="65" t="s">
        <v>0</v>
      </c>
      <c r="C2" s="13" t="s">
        <v>22</v>
      </c>
      <c r="D2" s="13" t="s">
        <v>23</v>
      </c>
      <c r="E2" s="13" t="s">
        <v>24</v>
      </c>
      <c r="F2" s="14" t="s">
        <v>1</v>
      </c>
      <c r="G2" s="13" t="s">
        <v>15</v>
      </c>
      <c r="H2" s="13" t="s">
        <v>2</v>
      </c>
    </row>
    <row r="3" spans="2:8" ht="9.75" customHeight="1">
      <c r="B3" s="65"/>
      <c r="C3" s="62" t="s">
        <v>51</v>
      </c>
      <c r="D3" s="62"/>
      <c r="E3" s="62"/>
      <c r="F3" s="62" t="s">
        <v>3</v>
      </c>
      <c r="G3" s="62"/>
      <c r="H3" s="62"/>
    </row>
    <row r="4" spans="2:8" ht="9" customHeight="1">
      <c r="B4" s="14">
        <v>1</v>
      </c>
      <c r="C4" s="16">
        <v>2</v>
      </c>
      <c r="D4" s="16">
        <v>3</v>
      </c>
      <c r="E4" s="16">
        <v>4</v>
      </c>
      <c r="F4" s="16">
        <v>5</v>
      </c>
      <c r="G4" s="16">
        <v>6</v>
      </c>
      <c r="H4" s="16">
        <v>7</v>
      </c>
    </row>
    <row r="5" spans="2:13" ht="12.75">
      <c r="B5" s="47" t="s">
        <v>4</v>
      </c>
      <c r="C5" s="48">
        <f>18811029568.11</f>
        <v>18811029568.11</v>
      </c>
      <c r="D5" s="48">
        <f>18783921150.58</f>
        <v>18783921150.58</v>
      </c>
      <c r="E5" s="48" t="s">
        <v>61</v>
      </c>
      <c r="F5" s="49">
        <f aca="true" t="shared" si="0" ref="F5:F33">IF($D$5=0,"",100*$D5/$D$5)</f>
        <v>100</v>
      </c>
      <c r="G5" s="49">
        <f>IF(C5=0,"",100*D5/C5)</f>
        <v>99.85589083557683</v>
      </c>
      <c r="H5" s="49"/>
      <c r="I5" s="33"/>
      <c r="J5" s="33"/>
      <c r="K5" s="33"/>
      <c r="L5" s="33"/>
      <c r="M5" s="33"/>
    </row>
    <row r="6" spans="2:13" ht="25.5" customHeight="1">
      <c r="B6" s="35" t="s">
        <v>38</v>
      </c>
      <c r="C6" s="22">
        <f>C5-C11-C29</f>
        <v>9482116299.45</v>
      </c>
      <c r="D6" s="22">
        <f>D5-D11-D29</f>
        <v>9851930745.820002</v>
      </c>
      <c r="E6" s="48" t="s">
        <v>61</v>
      </c>
      <c r="F6" s="29">
        <f t="shared" si="0"/>
        <v>52.44874415114225</v>
      </c>
      <c r="G6" s="29">
        <f aca="true" t="shared" si="1" ref="G6:G36">IF(C6=0,"",100*D6/C6)</f>
        <v>103.90012561216372</v>
      </c>
      <c r="H6" s="29">
        <f>IF($D$6=0,"",100*$D6/$D$6)</f>
        <v>100</v>
      </c>
      <c r="I6" s="33"/>
      <c r="J6" s="33"/>
      <c r="K6" s="33"/>
      <c r="L6" s="33"/>
      <c r="M6" s="33"/>
    </row>
    <row r="7" spans="2:13" ht="22.5" customHeight="1">
      <c r="B7" s="17" t="s">
        <v>20</v>
      </c>
      <c r="C7" s="20">
        <f>6743441039</f>
        <v>6743441039</v>
      </c>
      <c r="D7" s="20">
        <f>6982328784.21</f>
        <v>6982328784.21</v>
      </c>
      <c r="E7" s="48" t="s">
        <v>61</v>
      </c>
      <c r="F7" s="30">
        <f t="shared" si="0"/>
        <v>37.171838234608444</v>
      </c>
      <c r="G7" s="30">
        <f t="shared" si="1"/>
        <v>103.54251996611845</v>
      </c>
      <c r="H7" s="30">
        <f>IF($D$6=0,"",100*$D7/$D$6)</f>
        <v>70.87269454439149</v>
      </c>
      <c r="I7" s="33"/>
      <c r="J7" s="33"/>
      <c r="K7" s="33"/>
      <c r="L7" s="33"/>
      <c r="M7" s="33"/>
    </row>
    <row r="8" spans="2:13" ht="22.5" customHeight="1">
      <c r="B8" s="28" t="s">
        <v>16</v>
      </c>
      <c r="C8" s="21">
        <f>1768498657</f>
        <v>1768498657</v>
      </c>
      <c r="D8" s="21">
        <f>1790193421</f>
        <v>1790193421</v>
      </c>
      <c r="E8" s="48" t="s">
        <v>61</v>
      </c>
      <c r="F8" s="30">
        <f t="shared" si="0"/>
        <v>9.530456429459209</v>
      </c>
      <c r="G8" s="30">
        <f t="shared" si="1"/>
        <v>101.22673341673904</v>
      </c>
      <c r="H8" s="30">
        <f>IF($D$6=0,"",100*$D8/$D$6)</f>
        <v>18.170990714277472</v>
      </c>
      <c r="I8" s="33"/>
      <c r="J8" s="33"/>
      <c r="K8" s="33"/>
      <c r="L8" s="33"/>
      <c r="M8" s="33"/>
    </row>
    <row r="9" spans="2:13" ht="12.75">
      <c r="B9" s="28" t="s">
        <v>17</v>
      </c>
      <c r="C9" s="21">
        <f>184043905.49</f>
        <v>184043905.49</v>
      </c>
      <c r="D9" s="50">
        <f>181339061.54</f>
        <v>181339061.54</v>
      </c>
      <c r="E9" s="48" t="s">
        <v>61</v>
      </c>
      <c r="F9" s="30">
        <f t="shared" si="0"/>
        <v>0.9653951381413284</v>
      </c>
      <c r="G9" s="30">
        <f t="shared" si="1"/>
        <v>98.5303268028362</v>
      </c>
      <c r="H9" s="30">
        <f>IF($D$6=0,"",100*$D9/$D$6)</f>
        <v>1.8406449072628623</v>
      </c>
      <c r="I9" s="33"/>
      <c r="J9" s="33"/>
      <c r="K9" s="33"/>
      <c r="L9" s="33"/>
      <c r="M9" s="33"/>
    </row>
    <row r="10" spans="2:13" ht="12.75">
      <c r="B10" s="28" t="s">
        <v>18</v>
      </c>
      <c r="C10" s="21">
        <f>C6-C7-C8-C9</f>
        <v>786132697.9600008</v>
      </c>
      <c r="D10" s="21">
        <f>D6-D7-D8-D9</f>
        <v>898069479.0700016</v>
      </c>
      <c r="E10" s="48" t="s">
        <v>61</v>
      </c>
      <c r="F10" s="30">
        <f t="shared" si="0"/>
        <v>4.78105434893327</v>
      </c>
      <c r="G10" s="30">
        <f t="shared" si="1"/>
        <v>114.23891683941841</v>
      </c>
      <c r="H10" s="30">
        <f>IF($D$6=0,"",100*$D10/$D$6)</f>
        <v>9.115669834068173</v>
      </c>
      <c r="I10" s="33"/>
      <c r="J10" s="33"/>
      <c r="K10" s="33"/>
      <c r="L10" s="33"/>
      <c r="M10" s="33"/>
    </row>
    <row r="11" spans="2:13" ht="12.75">
      <c r="B11" s="47" t="s">
        <v>59</v>
      </c>
      <c r="C11" s="48">
        <f>C12+C25+C27</f>
        <v>6767625808.66</v>
      </c>
      <c r="D11" s="48">
        <f>D12+D25+D27</f>
        <v>6370892975.76</v>
      </c>
      <c r="E11" s="48" t="s">
        <v>61</v>
      </c>
      <c r="F11" s="49">
        <f t="shared" si="0"/>
        <v>33.91673615262851</v>
      </c>
      <c r="G11" s="49">
        <f t="shared" si="1"/>
        <v>94.13778414887638</v>
      </c>
      <c r="H11" s="51"/>
      <c r="I11" s="33"/>
      <c r="J11" s="33"/>
      <c r="K11" s="33"/>
      <c r="L11" s="33"/>
      <c r="M11" s="33"/>
    </row>
    <row r="12" spans="2:13" ht="12.75">
      <c r="B12" s="47" t="s">
        <v>60</v>
      </c>
      <c r="C12" s="48">
        <f>C13+C15+C17+C19+C21+C23</f>
        <v>1417920749.27</v>
      </c>
      <c r="D12" s="48">
        <f>D13+D15+D17+D19+D21+D23</f>
        <v>1387175902.4199998</v>
      </c>
      <c r="E12" s="48" t="s">
        <v>61</v>
      </c>
      <c r="F12" s="49">
        <f t="shared" si="0"/>
        <v>7.384911229661795</v>
      </c>
      <c r="G12" s="49">
        <f t="shared" si="1"/>
        <v>97.83169497548936</v>
      </c>
      <c r="H12" s="25"/>
      <c r="I12" s="33"/>
      <c r="J12" s="33"/>
      <c r="K12" s="33"/>
      <c r="L12" s="33"/>
      <c r="M12" s="33"/>
    </row>
    <row r="13" spans="2:13" ht="22.5" customHeight="1">
      <c r="B13" s="28" t="s">
        <v>8</v>
      </c>
      <c r="C13" s="21">
        <f>742513057.47</f>
        <v>742513057.47</v>
      </c>
      <c r="D13" s="21">
        <f>734170680.36</f>
        <v>734170680.36</v>
      </c>
      <c r="E13" s="48" t="s">
        <v>61</v>
      </c>
      <c r="F13" s="30">
        <f t="shared" si="0"/>
        <v>3.9085059742029986</v>
      </c>
      <c r="G13" s="30">
        <f t="shared" si="1"/>
        <v>98.87646728551476</v>
      </c>
      <c r="H13" s="25"/>
      <c r="I13" s="33"/>
      <c r="J13" s="33"/>
      <c r="K13" s="33"/>
      <c r="L13" s="33"/>
      <c r="M13" s="33"/>
    </row>
    <row r="14" spans="2:13" ht="11.25" customHeight="1">
      <c r="B14" s="54" t="s">
        <v>5</v>
      </c>
      <c r="C14" s="21">
        <f>2794162</f>
        <v>2794162</v>
      </c>
      <c r="D14" s="21">
        <f>2590767.1</f>
        <v>2590767.1</v>
      </c>
      <c r="E14" s="48" t="s">
        <v>61</v>
      </c>
      <c r="F14" s="30">
        <f t="shared" si="0"/>
        <v>0.01379247218528706</v>
      </c>
      <c r="G14" s="30">
        <f t="shared" si="1"/>
        <v>92.72071912795322</v>
      </c>
      <c r="H14" s="25"/>
      <c r="I14" s="33"/>
      <c r="J14" s="33"/>
      <c r="K14" s="33"/>
      <c r="L14" s="33"/>
      <c r="M14" s="33"/>
    </row>
    <row r="15" spans="2:13" ht="11.25" customHeight="1">
      <c r="B15" s="28" t="s">
        <v>6</v>
      </c>
      <c r="C15" s="21">
        <f>382765426</f>
        <v>382765426</v>
      </c>
      <c r="D15" s="21">
        <f>380565241.26</f>
        <v>380565241.26</v>
      </c>
      <c r="E15" s="48" t="s">
        <v>61</v>
      </c>
      <c r="F15" s="30">
        <f t="shared" si="0"/>
        <v>2.0260159644475992</v>
      </c>
      <c r="G15" s="30">
        <f t="shared" si="1"/>
        <v>99.42518717978463</v>
      </c>
      <c r="H15" s="25"/>
      <c r="I15" s="33"/>
      <c r="J15" s="33"/>
      <c r="K15" s="33"/>
      <c r="L15" s="33"/>
      <c r="M15" s="33"/>
    </row>
    <row r="16" spans="2:13" ht="10.5" customHeight="1">
      <c r="B16" s="54" t="s">
        <v>5</v>
      </c>
      <c r="C16" s="21">
        <f>104171058</f>
        <v>104171058</v>
      </c>
      <c r="D16" s="21">
        <f>102636891.58</f>
        <v>102636891.58</v>
      </c>
      <c r="E16" s="48" t="s">
        <v>61</v>
      </c>
      <c r="F16" s="30">
        <f t="shared" si="0"/>
        <v>0.5464082326433255</v>
      </c>
      <c r="G16" s="30">
        <f t="shared" si="1"/>
        <v>98.52726232270771</v>
      </c>
      <c r="H16" s="25"/>
      <c r="I16" s="33"/>
      <c r="J16" s="33"/>
      <c r="K16" s="33"/>
      <c r="L16" s="33"/>
      <c r="M16" s="33"/>
    </row>
    <row r="17" spans="2:13" ht="35.25" customHeight="1">
      <c r="B17" s="28" t="s">
        <v>9</v>
      </c>
      <c r="C17" s="21">
        <f>11046527</f>
        <v>11046527</v>
      </c>
      <c r="D17" s="21">
        <f>4883881.01</f>
        <v>4883881.01</v>
      </c>
      <c r="E17" s="48" t="s">
        <v>61</v>
      </c>
      <c r="F17" s="30">
        <f t="shared" si="0"/>
        <v>0.0260003274654355</v>
      </c>
      <c r="G17" s="30">
        <f t="shared" si="1"/>
        <v>44.21191393457872</v>
      </c>
      <c r="H17" s="25"/>
      <c r="I17" s="33"/>
      <c r="J17" s="33"/>
      <c r="K17" s="33"/>
      <c r="L17" s="33"/>
      <c r="M17" s="33"/>
    </row>
    <row r="18" spans="2:13" ht="9.75" customHeight="1">
      <c r="B18" s="54" t="s">
        <v>5</v>
      </c>
      <c r="C18" s="21">
        <f>31000</f>
        <v>31000</v>
      </c>
      <c r="D18" s="21">
        <f>31000</f>
        <v>31000</v>
      </c>
      <c r="E18" s="48" t="s">
        <v>61</v>
      </c>
      <c r="F18" s="30">
        <f t="shared" si="0"/>
        <v>0.00016503476431513234</v>
      </c>
      <c r="G18" s="30">
        <f t="shared" si="1"/>
        <v>100</v>
      </c>
      <c r="H18" s="25"/>
      <c r="I18" s="33"/>
      <c r="J18" s="33"/>
      <c r="K18" s="33"/>
      <c r="L18" s="33"/>
      <c r="M18" s="33"/>
    </row>
    <row r="19" spans="2:13" ht="33.75" customHeight="1">
      <c r="B19" s="28" t="s">
        <v>10</v>
      </c>
      <c r="C19" s="21">
        <f>61670883.97</f>
        <v>61670883.97</v>
      </c>
      <c r="D19" s="21">
        <f>56894868.32</f>
        <v>56894868.32</v>
      </c>
      <c r="E19" s="48" t="s">
        <v>61</v>
      </c>
      <c r="F19" s="30">
        <f t="shared" si="0"/>
        <v>0.3028913285139255</v>
      </c>
      <c r="G19" s="30">
        <f t="shared" si="1"/>
        <v>92.25563938353258</v>
      </c>
      <c r="H19" s="25"/>
      <c r="I19" s="33"/>
      <c r="J19" s="33"/>
      <c r="K19" s="33"/>
      <c r="L19" s="33"/>
      <c r="M19" s="33"/>
    </row>
    <row r="20" spans="2:13" ht="11.25" customHeight="1">
      <c r="B20" s="54" t="s">
        <v>5</v>
      </c>
      <c r="C20" s="21">
        <f>13808344.97</f>
        <v>13808344.97</v>
      </c>
      <c r="D20" s="21">
        <f>10235465.37</f>
        <v>10235465.37</v>
      </c>
      <c r="E20" s="48" t="s">
        <v>61</v>
      </c>
      <c r="F20" s="30">
        <f t="shared" si="0"/>
        <v>0.05449056822560157</v>
      </c>
      <c r="G20" s="30">
        <f t="shared" si="1"/>
        <v>74.12521480479785</v>
      </c>
      <c r="H20" s="25"/>
      <c r="I20" s="33"/>
      <c r="J20" s="33"/>
      <c r="K20" s="33"/>
      <c r="L20" s="33"/>
      <c r="M20" s="33"/>
    </row>
    <row r="21" spans="2:13" ht="45" customHeight="1">
      <c r="B21" s="28" t="s">
        <v>53</v>
      </c>
      <c r="C21" s="21">
        <f>133091037.24</f>
        <v>133091037.24</v>
      </c>
      <c r="D21" s="21">
        <f>126401128.98</f>
        <v>126401128.98</v>
      </c>
      <c r="E21" s="48" t="s">
        <v>61</v>
      </c>
      <c r="F21" s="30">
        <f t="shared" si="0"/>
        <v>0.6729219525929336</v>
      </c>
      <c r="G21" s="30">
        <f t="shared" si="1"/>
        <v>94.973434425989</v>
      </c>
      <c r="H21" s="25"/>
      <c r="I21" s="33"/>
      <c r="J21" s="33"/>
      <c r="K21" s="33"/>
      <c r="L21" s="33"/>
      <c r="M21" s="33"/>
    </row>
    <row r="22" spans="2:13" ht="12.75">
      <c r="B22" s="54" t="s">
        <v>5</v>
      </c>
      <c r="C22" s="21">
        <f>104499354.12</f>
        <v>104499354.12</v>
      </c>
      <c r="D22" s="21">
        <f>98406843.47</f>
        <v>98406843.47</v>
      </c>
      <c r="E22" s="48" t="s">
        <v>61</v>
      </c>
      <c r="F22" s="30">
        <f t="shared" si="0"/>
        <v>0.5238887167441152</v>
      </c>
      <c r="G22" s="30">
        <f t="shared" si="1"/>
        <v>94.16981023346443</v>
      </c>
      <c r="H22" s="25"/>
      <c r="I22" s="33"/>
      <c r="J22" s="33"/>
      <c r="K22" s="33"/>
      <c r="L22" s="33"/>
      <c r="M22" s="33"/>
    </row>
    <row r="23" spans="2:13" ht="21.75" customHeight="1">
      <c r="B23" s="28" t="s">
        <v>7</v>
      </c>
      <c r="C23" s="21">
        <f>86833817.59</f>
        <v>86833817.59</v>
      </c>
      <c r="D23" s="21">
        <f>84260102.49</f>
        <v>84260102.49</v>
      </c>
      <c r="E23" s="48" t="s">
        <v>61</v>
      </c>
      <c r="F23" s="30">
        <f t="shared" si="0"/>
        <v>0.4485756824389046</v>
      </c>
      <c r="G23" s="30">
        <f t="shared" si="1"/>
        <v>97.03604520516163</v>
      </c>
      <c r="H23" s="25"/>
      <c r="I23" s="33"/>
      <c r="J23" s="33"/>
      <c r="K23" s="33"/>
      <c r="L23" s="33"/>
      <c r="M23" s="33"/>
    </row>
    <row r="24" spans="2:13" ht="12.75">
      <c r="B24" s="54" t="s">
        <v>5</v>
      </c>
      <c r="C24" s="21">
        <f>1400000</f>
        <v>1400000</v>
      </c>
      <c r="D24" s="21">
        <f>1400000</f>
        <v>1400000</v>
      </c>
      <c r="E24" s="48" t="s">
        <v>61</v>
      </c>
      <c r="F24" s="30">
        <f t="shared" si="0"/>
        <v>0.007453182904554364</v>
      </c>
      <c r="G24" s="30">
        <f t="shared" si="1"/>
        <v>100</v>
      </c>
      <c r="H24" s="25"/>
      <c r="I24" s="33"/>
      <c r="J24" s="33"/>
      <c r="K24" s="33"/>
      <c r="L24" s="33"/>
      <c r="M24" s="33"/>
    </row>
    <row r="25" spans="2:13" ht="13.5" customHeight="1">
      <c r="B25" s="47" t="s">
        <v>44</v>
      </c>
      <c r="C25" s="48">
        <f>970648401.46</f>
        <v>970648401.46</v>
      </c>
      <c r="D25" s="48">
        <f>850357139.7</f>
        <v>850357139.7</v>
      </c>
      <c r="E25" s="48" t="s">
        <v>61</v>
      </c>
      <c r="F25" s="49">
        <f t="shared" si="0"/>
        <v>4.527048068841276</v>
      </c>
      <c r="G25" s="49">
        <f t="shared" si="1"/>
        <v>87.60712307576419</v>
      </c>
      <c r="H25" s="25"/>
      <c r="I25" s="33"/>
      <c r="J25" s="33"/>
      <c r="K25" s="33"/>
      <c r="L25" s="33"/>
      <c r="M25" s="33"/>
    </row>
    <row r="26" spans="2:13" ht="14.25" customHeight="1">
      <c r="B26" s="27" t="s">
        <v>45</v>
      </c>
      <c r="C26" s="20">
        <f>349873115.84</f>
        <v>349873115.84</v>
      </c>
      <c r="D26" s="20">
        <f>300894501.69</f>
        <v>300894501.69</v>
      </c>
      <c r="E26" s="48" t="s">
        <v>61</v>
      </c>
      <c r="F26" s="30">
        <f t="shared" si="0"/>
        <v>1.6018726829073657</v>
      </c>
      <c r="G26" s="30">
        <f t="shared" si="1"/>
        <v>86.00103525176301</v>
      </c>
      <c r="H26" s="25"/>
      <c r="I26" s="33"/>
      <c r="J26" s="33"/>
      <c r="K26" s="33"/>
      <c r="L26" s="33"/>
      <c r="M26" s="33"/>
    </row>
    <row r="27" spans="2:13" ht="14.25" customHeight="1">
      <c r="B27" s="47" t="s">
        <v>54</v>
      </c>
      <c r="C27" s="48">
        <f>4379056657.93</f>
        <v>4379056657.93</v>
      </c>
      <c r="D27" s="48">
        <f>4133359933.64</f>
        <v>4133359933.64</v>
      </c>
      <c r="E27" s="48" t="s">
        <v>61</v>
      </c>
      <c r="F27" s="53">
        <f t="shared" si="0"/>
        <v>22.004776854125435</v>
      </c>
      <c r="G27" s="53">
        <f t="shared" si="1"/>
        <v>94.38927733796113</v>
      </c>
      <c r="H27" s="25"/>
      <c r="I27" s="33"/>
      <c r="J27" s="33"/>
      <c r="K27" s="33"/>
      <c r="L27" s="33"/>
      <c r="M27" s="33"/>
    </row>
    <row r="28" spans="2:13" ht="14.25" customHeight="1">
      <c r="B28" s="27" t="s">
        <v>55</v>
      </c>
      <c r="C28" s="20">
        <f>3122197126.89</f>
        <v>3122197126.89</v>
      </c>
      <c r="D28" s="20">
        <f>2951228704.6</f>
        <v>2951228704.6</v>
      </c>
      <c r="E28" s="48" t="s">
        <v>61</v>
      </c>
      <c r="F28" s="30">
        <f t="shared" si="0"/>
        <v>15.71146237753917</v>
      </c>
      <c r="G28" s="30">
        <f>IF(C27=0,"",100*D28/C28)</f>
        <v>94.52409904494722</v>
      </c>
      <c r="H28" s="25"/>
      <c r="I28" s="33"/>
      <c r="J28" s="33"/>
      <c r="K28" s="33"/>
      <c r="L28" s="33"/>
      <c r="M28" s="33"/>
    </row>
    <row r="29" spans="2:13" s="5" customFormat="1" ht="22.5" customHeight="1">
      <c r="B29" s="35" t="s">
        <v>39</v>
      </c>
      <c r="C29" s="22">
        <f>C30+C31+C32+C33</f>
        <v>2561287460</v>
      </c>
      <c r="D29" s="22">
        <f>D30+D31+D32+D33</f>
        <v>2561097429</v>
      </c>
      <c r="E29" s="48" t="s">
        <v>61</v>
      </c>
      <c r="F29" s="29">
        <f t="shared" si="0"/>
        <v>13.634519696229237</v>
      </c>
      <c r="G29" s="29">
        <f t="shared" si="1"/>
        <v>99.99258064536028</v>
      </c>
      <c r="H29" s="26"/>
      <c r="I29" s="36"/>
      <c r="J29" s="36"/>
      <c r="K29" s="36"/>
      <c r="L29" s="36"/>
      <c r="M29" s="36"/>
    </row>
    <row r="30" spans="2:13" ht="12.75">
      <c r="B30" s="28" t="s">
        <v>26</v>
      </c>
      <c r="C30" s="21">
        <f>609957288</f>
        <v>609957288</v>
      </c>
      <c r="D30" s="21">
        <f>609767257</f>
        <v>609767257</v>
      </c>
      <c r="E30" s="48" t="s">
        <v>61</v>
      </c>
      <c r="F30" s="30">
        <f t="shared" si="0"/>
        <v>3.2462192111638624</v>
      </c>
      <c r="G30" s="30">
        <f t="shared" si="1"/>
        <v>99.9688451956</v>
      </c>
      <c r="H30" s="26"/>
      <c r="I30" s="33"/>
      <c r="J30" s="33"/>
      <c r="K30" s="33"/>
      <c r="L30" s="33"/>
      <c r="M30" s="33"/>
    </row>
    <row r="31" spans="2:13" ht="12.75">
      <c r="B31" s="28" t="s">
        <v>37</v>
      </c>
      <c r="C31" s="21">
        <f>509369153</f>
        <v>509369153</v>
      </c>
      <c r="D31" s="21">
        <f>509369153</f>
        <v>509369153</v>
      </c>
      <c r="E31" s="48" t="s">
        <v>61</v>
      </c>
      <c r="F31" s="30">
        <f t="shared" si="0"/>
        <v>2.7117296166049543</v>
      </c>
      <c r="G31" s="30">
        <f t="shared" si="1"/>
        <v>100</v>
      </c>
      <c r="H31" s="26"/>
      <c r="I31" s="33"/>
      <c r="J31" s="33"/>
      <c r="K31" s="33"/>
      <c r="L31" s="33"/>
      <c r="M31" s="33"/>
    </row>
    <row r="32" spans="2:13" ht="12.75">
      <c r="B32" s="28" t="s">
        <v>27</v>
      </c>
      <c r="C32" s="21">
        <f>1392731548</f>
        <v>1392731548</v>
      </c>
      <c r="D32" s="21">
        <f>1392731548</f>
        <v>1392731548</v>
      </c>
      <c r="E32" s="48" t="s">
        <v>61</v>
      </c>
      <c r="F32" s="30">
        <f t="shared" si="0"/>
        <v>7.414487831562239</v>
      </c>
      <c r="G32" s="30">
        <f t="shared" si="1"/>
        <v>100</v>
      </c>
      <c r="H32" s="26"/>
      <c r="I32" s="33"/>
      <c r="J32" s="33"/>
      <c r="K32" s="33"/>
      <c r="L32" s="33"/>
      <c r="M32" s="33"/>
    </row>
    <row r="33" spans="2:13" s="5" customFormat="1" ht="14.25" customHeight="1">
      <c r="B33" s="28" t="s">
        <v>25</v>
      </c>
      <c r="C33" s="21">
        <f>49229471</f>
        <v>49229471</v>
      </c>
      <c r="D33" s="21">
        <f>49229471</f>
        <v>49229471</v>
      </c>
      <c r="E33" s="48" t="s">
        <v>61</v>
      </c>
      <c r="F33" s="30">
        <f t="shared" si="0"/>
        <v>0.262083036898182</v>
      </c>
      <c r="G33" s="30">
        <f t="shared" si="1"/>
        <v>100</v>
      </c>
      <c r="H33" s="26"/>
      <c r="I33" s="36"/>
      <c r="J33" s="36"/>
      <c r="K33" s="36"/>
      <c r="L33" s="36"/>
      <c r="M33" s="36"/>
    </row>
    <row r="34" spans="2:13" s="5" customFormat="1" ht="12.75">
      <c r="B34" s="55" t="s">
        <v>52</v>
      </c>
      <c r="C34" s="52">
        <f>+C5</f>
        <v>18811029568.11</v>
      </c>
      <c r="D34" s="52">
        <f>+D5</f>
        <v>18783921150.58</v>
      </c>
      <c r="E34" s="48" t="s">
        <v>61</v>
      </c>
      <c r="F34" s="53">
        <f>IF($D$5=0,"",100*$D34/$D$34)</f>
        <v>100</v>
      </c>
      <c r="G34" s="53">
        <f t="shared" si="1"/>
        <v>99.85589083557683</v>
      </c>
      <c r="H34" s="53"/>
      <c r="I34" s="36"/>
      <c r="J34" s="36"/>
      <c r="K34" s="36"/>
      <c r="L34" s="36"/>
      <c r="M34" s="36"/>
    </row>
    <row r="35" spans="2:13" s="5" customFormat="1" ht="12.75">
      <c r="B35" s="28" t="s">
        <v>46</v>
      </c>
      <c r="C35" s="21">
        <f>3939946270.52</f>
        <v>3939946270.52</v>
      </c>
      <c r="D35" s="21">
        <f>3700570378.16</f>
        <v>3700570378.16</v>
      </c>
      <c r="E35" s="48" t="s">
        <v>61</v>
      </c>
      <c r="F35" s="30">
        <f>IF($D$5=0,"",100*$D35/$D$34)</f>
        <v>19.700734199715992</v>
      </c>
      <c r="G35" s="30">
        <f t="shared" si="1"/>
        <v>93.92438688438239</v>
      </c>
      <c r="H35" s="30">
        <f>IF($D$6=0,"",100*$D35/$D$6)</f>
        <v>37.56187973337192</v>
      </c>
      <c r="I35" s="36"/>
      <c r="J35" s="36"/>
      <c r="K35" s="36"/>
      <c r="L35" s="36"/>
      <c r="M35" s="36"/>
    </row>
    <row r="36" spans="1:13" s="5" customFormat="1" ht="12.75">
      <c r="A36" s="2"/>
      <c r="B36" s="28" t="s">
        <v>47</v>
      </c>
      <c r="C36" s="21">
        <f>C34-C35</f>
        <v>14871083297.59</v>
      </c>
      <c r="D36" s="21">
        <f>D34-D35</f>
        <v>15083350772.420002</v>
      </c>
      <c r="E36" s="48" t="s">
        <v>61</v>
      </c>
      <c r="F36" s="30">
        <f>IF($D$5=0,"",100*$D36/$D$34)</f>
        <v>80.29926580028402</v>
      </c>
      <c r="G36" s="30">
        <f t="shared" si="1"/>
        <v>101.42738407540493</v>
      </c>
      <c r="H36" s="30">
        <f>IF($D$6=0,"",100*$D36/$D$6)</f>
        <v>153.100454738982</v>
      </c>
      <c r="I36" s="37"/>
      <c r="J36" s="37"/>
      <c r="K36" s="38"/>
      <c r="L36" s="38"/>
      <c r="M36" s="19"/>
    </row>
    <row r="37" spans="2:13" ht="21.75" customHeight="1">
      <c r="B37" s="69" t="s">
        <v>63</v>
      </c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</row>
    <row r="38" spans="2:13" s="5" customFormat="1" ht="4.5" customHeight="1">
      <c r="B38" s="6"/>
      <c r="C38" s="7"/>
      <c r="D38" s="8"/>
      <c r="E38" s="8"/>
      <c r="F38" s="4"/>
      <c r="G38" s="4"/>
      <c r="H38" s="4"/>
      <c r="I38" s="4"/>
      <c r="J38" s="4"/>
      <c r="K38" s="9"/>
      <c r="L38" s="9"/>
      <c r="M38" s="3"/>
    </row>
    <row r="39" spans="2:27" ht="29.25" customHeight="1">
      <c r="B39" s="65" t="s">
        <v>0</v>
      </c>
      <c r="C39" s="66" t="s">
        <v>33</v>
      </c>
      <c r="D39" s="66" t="s">
        <v>34</v>
      </c>
      <c r="E39" s="66" t="s">
        <v>35</v>
      </c>
      <c r="F39" s="66" t="s">
        <v>11</v>
      </c>
      <c r="G39" s="66"/>
      <c r="H39" s="66"/>
      <c r="I39" s="66" t="s">
        <v>56</v>
      </c>
      <c r="J39" s="66"/>
      <c r="K39" s="66" t="s">
        <v>1</v>
      </c>
      <c r="L39" s="64" t="s">
        <v>21</v>
      </c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</row>
    <row r="40" spans="2:27" ht="18" customHeight="1">
      <c r="B40" s="65"/>
      <c r="C40" s="66"/>
      <c r="D40" s="67"/>
      <c r="E40" s="66"/>
      <c r="F40" s="63" t="s">
        <v>36</v>
      </c>
      <c r="G40" s="70" t="s">
        <v>19</v>
      </c>
      <c r="H40" s="67"/>
      <c r="I40" s="66"/>
      <c r="J40" s="66"/>
      <c r="K40" s="66"/>
      <c r="L40" s="64"/>
      <c r="M40" s="11"/>
      <c r="N40" s="12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</row>
    <row r="41" spans="2:27" ht="36" customHeight="1">
      <c r="B41" s="65"/>
      <c r="C41" s="66"/>
      <c r="D41" s="67"/>
      <c r="E41" s="66"/>
      <c r="F41" s="67"/>
      <c r="G41" s="15" t="s">
        <v>31</v>
      </c>
      <c r="H41" s="15" t="s">
        <v>32</v>
      </c>
      <c r="I41" s="66"/>
      <c r="J41" s="66"/>
      <c r="K41" s="66"/>
      <c r="L41" s="64"/>
      <c r="M41" s="11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</row>
    <row r="42" spans="2:27" ht="13.5" customHeight="1">
      <c r="B42" s="65"/>
      <c r="C42" s="62" t="s">
        <v>51</v>
      </c>
      <c r="D42" s="62"/>
      <c r="E42" s="62"/>
      <c r="F42" s="62"/>
      <c r="G42" s="62"/>
      <c r="H42" s="62"/>
      <c r="I42" s="62"/>
      <c r="J42" s="62"/>
      <c r="K42" s="62" t="s">
        <v>3</v>
      </c>
      <c r="L42" s="62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</row>
    <row r="43" spans="2:27" ht="11.25" customHeight="1">
      <c r="B43" s="14">
        <v>1</v>
      </c>
      <c r="C43" s="16">
        <v>2</v>
      </c>
      <c r="D43" s="16">
        <v>3</v>
      </c>
      <c r="E43" s="16">
        <v>4</v>
      </c>
      <c r="F43" s="14">
        <v>5</v>
      </c>
      <c r="G43" s="14">
        <v>6</v>
      </c>
      <c r="H43" s="16">
        <v>7</v>
      </c>
      <c r="I43" s="67">
        <v>8</v>
      </c>
      <c r="J43" s="67"/>
      <c r="K43" s="14">
        <v>9</v>
      </c>
      <c r="L43" s="16">
        <v>10</v>
      </c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</row>
    <row r="44" spans="2:13" ht="25.5" customHeight="1">
      <c r="B44" s="47" t="s">
        <v>40</v>
      </c>
      <c r="C44" s="56">
        <f>19727041748.29</f>
        <v>19727041748.29</v>
      </c>
      <c r="D44" s="56" t="s">
        <v>61</v>
      </c>
      <c r="E44" s="56">
        <f>18381373619.25</f>
        <v>18381373619.25</v>
      </c>
      <c r="F44" s="61" t="s">
        <v>61</v>
      </c>
      <c r="G44" s="61" t="s">
        <v>61</v>
      </c>
      <c r="H44" s="61" t="s">
        <v>61</v>
      </c>
      <c r="I44" s="68" t="s">
        <v>61</v>
      </c>
      <c r="J44" s="68"/>
      <c r="K44" s="34">
        <f aca="true" t="shared" si="2" ref="K44:K53">IF($E$44=0,"",100*$E44/$E$44)</f>
        <v>100</v>
      </c>
      <c r="L44" s="34">
        <f aca="true" t="shared" si="3" ref="L44:L53">IF(C44=0,"",100*E44/C44)</f>
        <v>93.17856095095127</v>
      </c>
      <c r="M44" s="33"/>
    </row>
    <row r="45" spans="2:13" ht="12.75">
      <c r="B45" s="35" t="s">
        <v>13</v>
      </c>
      <c r="C45" s="23">
        <f>7654033160.54</f>
        <v>7654033160.54</v>
      </c>
      <c r="D45" s="61" t="s">
        <v>61</v>
      </c>
      <c r="E45" s="23">
        <f>6968811805.29</f>
        <v>6968811805.29</v>
      </c>
      <c r="F45" s="61" t="s">
        <v>61</v>
      </c>
      <c r="G45" s="61" t="s">
        <v>61</v>
      </c>
      <c r="H45" s="61" t="s">
        <v>61</v>
      </c>
      <c r="I45" s="68" t="s">
        <v>61</v>
      </c>
      <c r="J45" s="68"/>
      <c r="K45" s="31">
        <f t="shared" si="2"/>
        <v>37.91235600582032</v>
      </c>
      <c r="L45" s="31">
        <f t="shared" si="3"/>
        <v>91.04757791248376</v>
      </c>
      <c r="M45" s="33"/>
    </row>
    <row r="46" spans="2:13" ht="22.5" customHeight="1">
      <c r="B46" s="17" t="s">
        <v>12</v>
      </c>
      <c r="C46" s="20">
        <f>7355128146.54</f>
        <v>7355128146.54</v>
      </c>
      <c r="D46" s="61" t="s">
        <v>61</v>
      </c>
      <c r="E46" s="20">
        <f>6670178371.9</f>
        <v>6670178371.9</v>
      </c>
      <c r="F46" s="61" t="s">
        <v>61</v>
      </c>
      <c r="G46" s="61" t="s">
        <v>61</v>
      </c>
      <c r="H46" s="61" t="s">
        <v>61</v>
      </c>
      <c r="I46" s="68" t="s">
        <v>61</v>
      </c>
      <c r="J46" s="68"/>
      <c r="K46" s="32">
        <f t="shared" si="2"/>
        <v>36.28770357463719</v>
      </c>
      <c r="L46" s="32">
        <f t="shared" si="3"/>
        <v>90.68745287650475</v>
      </c>
      <c r="M46" s="33"/>
    </row>
    <row r="47" spans="2:13" ht="25.5" customHeight="1">
      <c r="B47" s="35" t="s">
        <v>41</v>
      </c>
      <c r="C47" s="23">
        <f>C44-C45</f>
        <v>12073008587.75</v>
      </c>
      <c r="D47" s="61" t="s">
        <v>61</v>
      </c>
      <c r="E47" s="23">
        <f>E44-E45</f>
        <v>11412561813.96</v>
      </c>
      <c r="F47" s="61" t="s">
        <v>61</v>
      </c>
      <c r="G47" s="61" t="s">
        <v>61</v>
      </c>
      <c r="H47" s="61" t="s">
        <v>61</v>
      </c>
      <c r="I47" s="68" t="s">
        <v>61</v>
      </c>
      <c r="J47" s="68"/>
      <c r="K47" s="31">
        <f t="shared" si="2"/>
        <v>62.08764399417968</v>
      </c>
      <c r="L47" s="31">
        <f t="shared" si="3"/>
        <v>94.52955931415364</v>
      </c>
      <c r="M47" s="33"/>
    </row>
    <row r="48" spans="2:13" ht="22.5">
      <c r="B48" s="17" t="s">
        <v>62</v>
      </c>
      <c r="C48" s="20">
        <f>3137351290.95</f>
        <v>3137351290.95</v>
      </c>
      <c r="D48" s="61" t="s">
        <v>61</v>
      </c>
      <c r="E48" s="20">
        <f>3016268600.22</f>
        <v>3016268600.22</v>
      </c>
      <c r="F48" s="61" t="s">
        <v>61</v>
      </c>
      <c r="G48" s="61" t="s">
        <v>61</v>
      </c>
      <c r="H48" s="61" t="s">
        <v>61</v>
      </c>
      <c r="I48" s="68" t="s">
        <v>61</v>
      </c>
      <c r="J48" s="68"/>
      <c r="K48" s="32">
        <f t="shared" si="2"/>
        <v>16.409375396522027</v>
      </c>
      <c r="L48" s="32">
        <f t="shared" si="3"/>
        <v>96.14060780890955</v>
      </c>
      <c r="M48" s="33"/>
    </row>
    <row r="49" spans="2:13" ht="12.75">
      <c r="B49" s="28" t="s">
        <v>30</v>
      </c>
      <c r="C49" s="20">
        <f>5092808745.46</f>
        <v>5092808745.46</v>
      </c>
      <c r="D49" s="61" t="s">
        <v>61</v>
      </c>
      <c r="E49" s="20">
        <f>4940543047.01</f>
        <v>4940543047.01</v>
      </c>
      <c r="F49" s="61" t="s">
        <v>61</v>
      </c>
      <c r="G49" s="61" t="s">
        <v>61</v>
      </c>
      <c r="H49" s="61" t="s">
        <v>61</v>
      </c>
      <c r="I49" s="68" t="s">
        <v>61</v>
      </c>
      <c r="J49" s="68"/>
      <c r="K49" s="58">
        <f t="shared" si="2"/>
        <v>26.877986103475898</v>
      </c>
      <c r="L49" s="58">
        <f t="shared" si="3"/>
        <v>97.01018227739776</v>
      </c>
      <c r="M49" s="33"/>
    </row>
    <row r="50" spans="2:13" ht="12.75">
      <c r="B50" s="28" t="s">
        <v>29</v>
      </c>
      <c r="C50" s="20">
        <f>148912489.47</f>
        <v>148912489.47</v>
      </c>
      <c r="D50" s="61" t="s">
        <v>61</v>
      </c>
      <c r="E50" s="20">
        <f>139068645.3</f>
        <v>139068645.3</v>
      </c>
      <c r="F50" s="61" t="s">
        <v>61</v>
      </c>
      <c r="G50" s="61" t="s">
        <v>61</v>
      </c>
      <c r="H50" s="61" t="s">
        <v>61</v>
      </c>
      <c r="I50" s="68" t="s">
        <v>61</v>
      </c>
      <c r="J50" s="68"/>
      <c r="K50" s="58">
        <f t="shared" si="2"/>
        <v>0.7565737369831794</v>
      </c>
      <c r="L50" s="58">
        <f t="shared" si="3"/>
        <v>93.38951070858087</v>
      </c>
      <c r="M50" s="33"/>
    </row>
    <row r="51" spans="2:13" ht="22.5" customHeight="1">
      <c r="B51" s="28" t="s">
        <v>42</v>
      </c>
      <c r="C51" s="20">
        <f>19835325.76</f>
        <v>19835325.76</v>
      </c>
      <c r="D51" s="61" t="s">
        <v>61</v>
      </c>
      <c r="E51" s="20">
        <f>8427413.92</f>
        <v>8427413.92</v>
      </c>
      <c r="F51" s="61" t="s">
        <v>61</v>
      </c>
      <c r="G51" s="61" t="s">
        <v>61</v>
      </c>
      <c r="H51" s="61" t="s">
        <v>61</v>
      </c>
      <c r="I51" s="68" t="s">
        <v>61</v>
      </c>
      <c r="J51" s="68"/>
      <c r="K51" s="58">
        <f t="shared" si="2"/>
        <v>0.04584757425949028</v>
      </c>
      <c r="L51" s="58">
        <f t="shared" si="3"/>
        <v>42.48689445269791</v>
      </c>
      <c r="M51" s="33"/>
    </row>
    <row r="52" spans="2:13" ht="22.5">
      <c r="B52" s="28" t="s">
        <v>43</v>
      </c>
      <c r="C52" s="20">
        <f>143744509.1</f>
        <v>143744509.1</v>
      </c>
      <c r="D52" s="61" t="s">
        <v>61</v>
      </c>
      <c r="E52" s="20">
        <f>134275079.83</f>
        <v>134275079.83</v>
      </c>
      <c r="F52" s="61" t="s">
        <v>61</v>
      </c>
      <c r="G52" s="61" t="s">
        <v>61</v>
      </c>
      <c r="H52" s="61" t="s">
        <v>61</v>
      </c>
      <c r="I52" s="68" t="s">
        <v>61</v>
      </c>
      <c r="J52" s="68"/>
      <c r="K52" s="58">
        <f t="shared" si="2"/>
        <v>0.730495351497451</v>
      </c>
      <c r="L52" s="58">
        <f t="shared" si="3"/>
        <v>93.4123193092459</v>
      </c>
      <c r="M52" s="33"/>
    </row>
    <row r="53" spans="2:13" ht="12.75">
      <c r="B53" s="28" t="s">
        <v>28</v>
      </c>
      <c r="C53" s="21">
        <f>C47-C48-C49-C50-C51-C52</f>
        <v>3530356227.0099993</v>
      </c>
      <c r="D53" s="61" t="s">
        <v>61</v>
      </c>
      <c r="E53" s="21">
        <f>E47-E48-E49-E50-E51-E52</f>
        <v>3173979027.6799994</v>
      </c>
      <c r="F53" s="61" t="s">
        <v>61</v>
      </c>
      <c r="G53" s="61" t="s">
        <v>61</v>
      </c>
      <c r="H53" s="61" t="s">
        <v>61</v>
      </c>
      <c r="I53" s="68" t="s">
        <v>61</v>
      </c>
      <c r="J53" s="68"/>
      <c r="K53" s="58">
        <f t="shared" si="2"/>
        <v>17.267365831441627</v>
      </c>
      <c r="L53" s="58">
        <f t="shared" si="3"/>
        <v>89.90534732434551</v>
      </c>
      <c r="M53" s="33"/>
    </row>
    <row r="54" spans="2:13" ht="12.75">
      <c r="B54" s="35" t="s">
        <v>14</v>
      </c>
      <c r="C54" s="23">
        <f>C5-C44</f>
        <v>-916012180.1800003</v>
      </c>
      <c r="D54" s="61" t="s">
        <v>61</v>
      </c>
      <c r="E54" s="23">
        <f>D5-E44</f>
        <v>402547531.33000183</v>
      </c>
      <c r="F54" s="61" t="s">
        <v>61</v>
      </c>
      <c r="G54" s="61" t="s">
        <v>61</v>
      </c>
      <c r="H54" s="61" t="s">
        <v>61</v>
      </c>
      <c r="I54" s="68" t="s">
        <v>61</v>
      </c>
      <c r="J54" s="68"/>
      <c r="K54" s="24"/>
      <c r="L54" s="24"/>
      <c r="M54" s="39"/>
    </row>
    <row r="55" spans="2:13" ht="33.75">
      <c r="B55" s="40" t="s">
        <v>57</v>
      </c>
      <c r="C55" s="23">
        <f>+C36-C47</f>
        <v>2798074709.84</v>
      </c>
      <c r="D55" s="41"/>
      <c r="E55" s="23">
        <f>+D36-E47</f>
        <v>3670788958.460003</v>
      </c>
      <c r="F55" s="42"/>
      <c r="G55" s="42"/>
      <c r="H55" s="42"/>
      <c r="I55" s="71"/>
      <c r="J55" s="72"/>
      <c r="K55" s="33"/>
      <c r="L55" s="43"/>
      <c r="M55" s="43"/>
    </row>
    <row r="56" spans="2:13" ht="6.75" customHeight="1" thickBot="1">
      <c r="B56" s="44"/>
      <c r="C56" s="45"/>
      <c r="D56" s="45"/>
      <c r="E56" s="45"/>
      <c r="F56" s="18"/>
      <c r="G56" s="18"/>
      <c r="H56" s="18"/>
      <c r="I56" s="18"/>
      <c r="J56" s="33"/>
      <c r="K56" s="33"/>
      <c r="L56" s="43"/>
      <c r="M56" s="43"/>
    </row>
    <row r="57" spans="2:13" ht="12" customHeight="1" thickBot="1">
      <c r="B57" s="46" t="s">
        <v>48</v>
      </c>
      <c r="C57" s="45"/>
      <c r="D57" s="45"/>
      <c r="E57" s="45"/>
      <c r="F57" s="18"/>
      <c r="G57" s="18"/>
      <c r="H57" s="18"/>
      <c r="I57" s="18"/>
      <c r="J57" s="33"/>
      <c r="K57" s="33"/>
      <c r="L57" s="43"/>
      <c r="M57" s="43"/>
    </row>
    <row r="58" spans="2:13" ht="23.25" customHeight="1">
      <c r="B58" s="60" t="s">
        <v>58</v>
      </c>
      <c r="C58" s="23">
        <f>6769594363.73</f>
        <v>6769594363.73</v>
      </c>
      <c r="D58" s="61" t="s">
        <v>61</v>
      </c>
      <c r="E58" s="23">
        <f>6069365295.72</f>
        <v>6069365295.72</v>
      </c>
      <c r="F58" s="61" t="s">
        <v>61</v>
      </c>
      <c r="G58" s="61" t="s">
        <v>61</v>
      </c>
      <c r="H58" s="61" t="s">
        <v>61</v>
      </c>
      <c r="I58" s="68" t="s">
        <v>61</v>
      </c>
      <c r="J58" s="68"/>
      <c r="K58" s="32">
        <f>IF($E$44=0,"",100*$E58/$E$58)</f>
        <v>100</v>
      </c>
      <c r="L58" s="32">
        <f>IF(C58=0,"",100*E58/C58)</f>
        <v>89.65626254119933</v>
      </c>
      <c r="M58" s="43"/>
    </row>
    <row r="59" spans="2:13" ht="12.75">
      <c r="B59" s="59" t="s">
        <v>49</v>
      </c>
      <c r="C59" s="57">
        <f>4623445500.07</f>
        <v>4623445500.07</v>
      </c>
      <c r="D59" s="61" t="s">
        <v>61</v>
      </c>
      <c r="E59" s="57">
        <f>4209420720.69</f>
        <v>4209420720.69</v>
      </c>
      <c r="F59" s="61" t="s">
        <v>61</v>
      </c>
      <c r="G59" s="61" t="s">
        <v>61</v>
      </c>
      <c r="H59" s="61" t="s">
        <v>61</v>
      </c>
      <c r="I59" s="68" t="s">
        <v>61</v>
      </c>
      <c r="J59" s="68"/>
      <c r="K59" s="58">
        <f>IF($E$44=0,"",100*$E59/$E$58)</f>
        <v>69.3552046316672</v>
      </c>
      <c r="L59" s="58">
        <f>IF(C59=0,"",100*E59/C59)</f>
        <v>91.04510306493866</v>
      </c>
      <c r="M59" s="33"/>
    </row>
    <row r="60" spans="2:13" ht="12.75" customHeight="1">
      <c r="B60" s="59" t="s">
        <v>50</v>
      </c>
      <c r="C60" s="57">
        <f>C58-C59</f>
        <v>2146148863.6599998</v>
      </c>
      <c r="D60" s="61" t="s">
        <v>61</v>
      </c>
      <c r="E60" s="57">
        <f>E58-E59</f>
        <v>1859944575.0300002</v>
      </c>
      <c r="F60" s="61" t="s">
        <v>61</v>
      </c>
      <c r="G60" s="61" t="s">
        <v>61</v>
      </c>
      <c r="H60" s="61" t="s">
        <v>61</v>
      </c>
      <c r="I60" s="68" t="s">
        <v>61</v>
      </c>
      <c r="J60" s="68"/>
      <c r="K60" s="58">
        <f>IF($E$44=0,"",100*$E60/$E$58)</f>
        <v>30.64479536833279</v>
      </c>
      <c r="L60" s="58">
        <f>IF(C60=0,"",100*E60/C60)</f>
        <v>86.66428534030429</v>
      </c>
      <c r="M60" s="33"/>
    </row>
    <row r="63" ht="12.75"/>
  </sheetData>
  <sheetProtection/>
  <mergeCells count="33">
    <mergeCell ref="I55:J55"/>
    <mergeCell ref="I58:J58"/>
    <mergeCell ref="I59:J59"/>
    <mergeCell ref="I60:J60"/>
    <mergeCell ref="I49:J49"/>
    <mergeCell ref="I50:J50"/>
    <mergeCell ref="I51:J51"/>
    <mergeCell ref="I53:J53"/>
    <mergeCell ref="I54:J54"/>
    <mergeCell ref="I52:J52"/>
    <mergeCell ref="B1:M1"/>
    <mergeCell ref="I39:J41"/>
    <mergeCell ref="D39:D41"/>
    <mergeCell ref="E39:E41"/>
    <mergeCell ref="F40:F41"/>
    <mergeCell ref="F39:H39"/>
    <mergeCell ref="G40:H40"/>
    <mergeCell ref="F3:H3"/>
    <mergeCell ref="B37:M37"/>
    <mergeCell ref="I43:J43"/>
    <mergeCell ref="I46:J46"/>
    <mergeCell ref="I47:J47"/>
    <mergeCell ref="I44:J44"/>
    <mergeCell ref="I45:J45"/>
    <mergeCell ref="I48:J48"/>
    <mergeCell ref="C42:J42"/>
    <mergeCell ref="C3:E3"/>
    <mergeCell ref="L39:L41"/>
    <mergeCell ref="B2:B3"/>
    <mergeCell ref="C39:C41"/>
    <mergeCell ref="B39:B42"/>
    <mergeCell ref="K39:K41"/>
    <mergeCell ref="K42:L42"/>
  </mergeCells>
  <printOptions/>
  <pageMargins left="0.1968503937007874" right="0.1968503937007874" top="0.35433070866141736" bottom="0.3937007874015748" header="0.31496062992125984" footer="0.1968503937007874"/>
  <pageSetup horizontalDpi="600" verticalDpi="600" orientation="landscape" paperSize="9" scale="85" r:id="rId3"/>
  <headerFooter alignWithMargins="0">
    <oddFooter>&amp;RStrona &amp;P z &amp;N</oddFooter>
  </headerFooter>
  <rowBreaks count="1" manualBreakCount="1">
    <brk id="36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Min. Fin.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2015-04-29T09:53:24Z</cp:lastPrinted>
  <dcterms:created xsi:type="dcterms:W3CDTF">2001-05-17T08:58:03Z</dcterms:created>
  <dcterms:modified xsi:type="dcterms:W3CDTF">2020-01-31T11:42:30Z</dcterms:modified>
  <cp:category/>
  <cp:version/>
  <cp:contentType/>
  <cp:contentStatus/>
</cp:coreProperties>
</file>