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I kwartał\2024.08.14 Ostateczne wygenerował Piotr\II KWARTAŁ\Zbiorówki_2024_k2_20230814\MF\"/>
    </mc:Choice>
  </mc:AlternateContent>
  <xr:revisionPtr revIDLastSave="0" documentId="8_{65E64FCF-7558-4FFA-91F6-20A2F72EC81E}" xr6:coauthVersionLast="47" xr6:coauthVersionMax="47" xr10:uidLastSave="{00000000-0000-0000-0000-000000000000}"/>
  <bookViews>
    <workbookView xWindow="-120" yWindow="-120" windowWidth="29040" windowHeight="15720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7" i="7" l="1"/>
  <c r="B106" i="7"/>
  <c r="B105" i="7"/>
  <c r="B104" i="7"/>
  <c r="I101" i="7"/>
  <c r="G101" i="7"/>
  <c r="I100" i="7"/>
  <c r="G100" i="7"/>
  <c r="I99" i="7"/>
  <c r="G99" i="7"/>
  <c r="L93" i="7"/>
  <c r="K93" i="7"/>
  <c r="J93" i="7"/>
  <c r="I93" i="7"/>
  <c r="H93" i="7"/>
  <c r="G93" i="7"/>
  <c r="F93" i="7"/>
  <c r="L92" i="7"/>
  <c r="K92" i="7"/>
  <c r="J92" i="7"/>
  <c r="I92" i="7"/>
  <c r="H92" i="7"/>
  <c r="G92" i="7"/>
  <c r="F92" i="7"/>
  <c r="L91" i="7"/>
  <c r="K91" i="7"/>
  <c r="J91" i="7"/>
  <c r="I91" i="7"/>
  <c r="H91" i="7"/>
  <c r="G91" i="7"/>
  <c r="F91" i="7"/>
  <c r="L90" i="7"/>
  <c r="K90" i="7"/>
  <c r="J90" i="7"/>
  <c r="I90" i="7"/>
  <c r="H90" i="7"/>
  <c r="G90" i="7"/>
  <c r="F90" i="7"/>
  <c r="L89" i="7"/>
  <c r="K89" i="7"/>
  <c r="J89" i="7"/>
  <c r="I89" i="7"/>
  <c r="H89" i="7"/>
  <c r="G89" i="7"/>
  <c r="F89" i="7"/>
  <c r="L88" i="7"/>
  <c r="K88" i="7"/>
  <c r="J88" i="7"/>
  <c r="I88" i="7"/>
  <c r="H88" i="7"/>
  <c r="G88" i="7"/>
  <c r="F88" i="7"/>
  <c r="L87" i="7"/>
  <c r="K87" i="7"/>
  <c r="J87" i="7"/>
  <c r="I87" i="7"/>
  <c r="H87" i="7"/>
  <c r="G87" i="7"/>
  <c r="F87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B60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104" i="7"/>
  <c r="A77" i="7"/>
  <c r="A96" i="7"/>
  <c r="A1" i="7"/>
  <c r="A34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<sst xmlns="http://schemas.openxmlformats.org/spreadsheetml/2006/main" count="97" uniqueCount="81">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</sst>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dd/mm/yy\ h:mm;@"/>
  </numFmts>
  <fonts count="35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101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71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4" fontId="7" fillId="20" borderId="10" xfId="37" applyNumberFormat="1" applyFont="1" applyFill="1" applyBorder="1" applyAlignment="1">
      <alignment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8" fillId="0" borderId="17" xfId="0" applyFont="1" applyFill="1" applyBorder="1" applyAlignment="1">
      <alignment horizontal="left" vertical="center" wrapText="1" indent="1"/>
    </xf>
    <xf numFmtId="0" fontId="28" fillId="0" borderId="18" xfId="0" applyFont="1" applyFill="1" applyBorder="1" applyAlignment="1">
      <alignment horizontal="left" vertical="center" wrapText="1" indent="1"/>
    </xf>
    <xf numFmtId="0" fontId="28" fillId="0" borderId="17" xfId="0" applyFont="1" applyFill="1" applyBorder="1" applyAlignment="1">
      <alignment horizontal="left" vertical="center" indent="1"/>
    </xf>
    <xf numFmtId="0" fontId="33" fillId="0" borderId="17" xfId="0" applyFont="1" applyFill="1" applyBorder="1" applyAlignment="1">
      <alignment vertical="center" wrapText="1"/>
    </xf>
    <xf numFmtId="0" fontId="33" fillId="0" borderId="17" xfId="0" applyFont="1" applyFill="1" applyBorder="1" applyAlignment="1">
      <alignment vertical="center"/>
    </xf>
    <xf numFmtId="0" fontId="32" fillId="0" borderId="17" xfId="0" applyFont="1" applyFill="1" applyBorder="1" applyAlignment="1">
      <alignment vertical="center"/>
    </xf>
    <xf numFmtId="0" fontId="28" fillId="0" borderId="10" xfId="0" applyFont="1" applyFill="1" applyBorder="1" applyAlignment="1">
      <alignment horizontal="left" vertical="center" indent="1"/>
    </xf>
    <xf numFmtId="4" fontId="7" fillId="0" borderId="10" xfId="37" applyNumberFormat="1" applyFont="1" applyFill="1" applyBorder="1" applyAlignment="1">
      <alignment vertical="center" wrapText="1"/>
    </xf>
    <xf numFmtId="0" fontId="31" fillId="21" borderId="10" xfId="37" applyFont="1" applyFill="1" applyBorder="1" applyAlignment="1">
      <alignment horizontal="left" vertical="center" wrapText="1"/>
    </xf>
    <xf numFmtId="4" fontId="7" fillId="21" borderId="10" xfId="37" applyNumberFormat="1" applyFont="1" applyFill="1" applyBorder="1" applyAlignment="1">
      <alignment horizontal="right" vertical="center" wrapText="1"/>
    </xf>
    <xf numFmtId="0" fontId="31" fillId="21" borderId="17" xfId="0" applyFont="1" applyFill="1" applyBorder="1" applyAlignment="1">
      <alignment wrapText="1"/>
    </xf>
    <xf numFmtId="0" fontId="31" fillId="21" borderId="18" xfId="0" applyFont="1" applyFill="1" applyBorder="1" applyAlignment="1">
      <alignment wrapText="1"/>
    </xf>
    <xf numFmtId="0" fontId="31" fillId="21" borderId="18" xfId="0" applyFont="1" applyFill="1" applyBorder="1" applyAlignment="1">
      <alignment vertical="center"/>
    </xf>
    <xf numFmtId="0" fontId="31" fillId="21" borderId="17" xfId="0" applyFont="1" applyFill="1" applyBorder="1" applyAlignment="1">
      <alignment horizontal="left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32" fillId="21" borderId="17" xfId="0" applyFont="1" applyFill="1" applyBorder="1" applyAlignment="1">
      <alignment vertical="center" wrapText="1"/>
    </xf>
    <xf numFmtId="4" fontId="7" fillId="21" borderId="10" xfId="37" applyNumberFormat="1" applyFont="1" applyFill="1" applyBorder="1" applyAlignment="1">
      <alignment vertical="center" wrapText="1"/>
    </xf>
    <xf numFmtId="4" fontId="2" fillId="19" borderId="15" xfId="37" applyNumberFormat="1" applyFont="1" applyFill="1" applyBorder="1" applyAlignment="1">
      <alignment horizontal="center" vertical="center" wrapText="1"/>
    </xf>
    <xf numFmtId="4" fontId="2" fillId="19" borderId="14" xfId="37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21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2" fillId="19" borderId="21" xfId="37" applyFont="1" applyFill="1" applyBorder="1" applyAlignment="1">
      <alignment horizontal="center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34" fillId="0" borderId="0" xfId="37" applyFont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2" fillId="19" borderId="20" xfId="37" applyFont="1" applyFill="1" applyBorder="1" applyAlignment="1">
      <alignment horizontal="center" vertical="center" wrapText="1"/>
    </xf>
    <xf numFmtId="0" fontId="8" fillId="19" borderId="20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0" fontId="2" fillId="19" borderId="23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3" fontId="7" fillId="0" borderId="15" xfId="37" applyNumberFormat="1" applyFont="1" applyFill="1" applyBorder="1" applyAlignment="1">
      <alignment horizontal="right" vertical="center" wrapText="1"/>
    </xf>
    <xf numFmtId="3" fontId="7" fillId="0" borderId="11" xfId="37" applyNumberFormat="1" applyFont="1" applyFill="1" applyBorder="1" applyAlignment="1">
      <alignment horizontal="right" vertical="center" wrapText="1"/>
    </xf>
    <xf numFmtId="4" fontId="7" fillId="0" borderId="15" xfId="37" applyNumberFormat="1" applyFont="1" applyFill="1" applyBorder="1" applyAlignment="1">
      <alignment horizontal="right" vertical="center" wrapText="1"/>
    </xf>
    <xf numFmtId="4" fontId="7" fillId="0" borderId="11" xfId="37" applyNumberFormat="1" applyFont="1" applyFill="1" applyBorder="1" applyAlignment="1">
      <alignment horizontal="right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19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6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21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107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4.7109375" style="2" customWidth="1"/>
    <col min="4" max="4" width="13.28515625" style="2" customWidth="1"/>
    <col min="5" max="5" width="12.28515625" style="2" customWidth="1"/>
    <col min="6" max="6" width="11.85546875" style="2" customWidth="1"/>
    <col min="7" max="7" width="11" style="2" customWidth="1"/>
    <col min="8" max="8" width="11.140625" style="2" customWidth="1"/>
    <col min="9" max="9" width="12.28515625" style="2" customWidth="1"/>
    <col min="10" max="10" width="13.5703125" style="2" customWidth="1"/>
    <col min="11" max="11" width="12.140625" style="2" customWidth="1"/>
    <col min="12" max="12" width="13.28515625" style="2" customWidth="1"/>
    <col min="13" max="13" width="11.140625" style="2" bestFit="1" customWidth="1"/>
    <col min="14" max="14" width="11.28515625" style="2" bestFit="1" customWidth="1"/>
    <col min="15" max="15" width="9.28515625" style="2" bestFit="1" customWidth="1"/>
    <col min="16" max="16" width="7.5703125" style="2" bestFit="1" customWidth="1"/>
    <col min="17" max="17" width="9.85546875" style="2" bestFit="1" customWidth="1"/>
    <col min="18" max="16384" width="9.140625" style="2"/>
  </cols>
  <sheetData>
    <row r="1" spans="1:17" ht="75" customHeight="1" x14ac:dyDescent="0.2">
      <c r="A1" s="51" t="str">
        <f>CONCATENATE("Informacja z wykonania budżetów gmin za ",$C$104," ",$B$105," roku   ",$B$107,"")</f>
        <v xml:space="preserve">Informacja z wykonania budżetów gmin za II Kwartały 2024 roku   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55" t="s">
        <v>64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5" spans="1:17" ht="13.5" customHeight="1" x14ac:dyDescent="0.2">
      <c r="B5" s="12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11"/>
      <c r="O5" s="11"/>
      <c r="P5" s="11"/>
      <c r="Q5" s="11"/>
    </row>
    <row r="6" spans="1:17" ht="13.5" customHeight="1" x14ac:dyDescent="0.2">
      <c r="A6" s="57" t="s">
        <v>0</v>
      </c>
      <c r="B6" s="56" t="s">
        <v>65</v>
      </c>
      <c r="C6" s="48" t="s">
        <v>69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50"/>
      <c r="O6" s="95" t="s">
        <v>68</v>
      </c>
      <c r="P6" s="96"/>
      <c r="Q6" s="97"/>
    </row>
    <row r="7" spans="1:17" ht="13.5" customHeight="1" x14ac:dyDescent="0.2">
      <c r="A7" s="58"/>
      <c r="B7" s="43"/>
      <c r="C7" s="44" t="s">
        <v>66</v>
      </c>
      <c r="D7" s="44" t="s">
        <v>77</v>
      </c>
      <c r="E7" s="44" t="s">
        <v>70</v>
      </c>
      <c r="F7" s="44" t="s">
        <v>71</v>
      </c>
      <c r="G7" s="44" t="s">
        <v>27</v>
      </c>
      <c r="H7" s="44" t="s">
        <v>28</v>
      </c>
      <c r="I7" s="60" t="s">
        <v>67</v>
      </c>
      <c r="J7" s="44" t="s">
        <v>16</v>
      </c>
      <c r="K7" s="44" t="s">
        <v>17</v>
      </c>
      <c r="L7" s="44" t="s">
        <v>18</v>
      </c>
      <c r="M7" s="44" t="s">
        <v>19</v>
      </c>
      <c r="N7" s="43" t="s">
        <v>20</v>
      </c>
      <c r="O7" s="47" t="s">
        <v>21</v>
      </c>
      <c r="P7" s="47" t="s">
        <v>22</v>
      </c>
      <c r="Q7" s="47" t="s">
        <v>23</v>
      </c>
    </row>
    <row r="8" spans="1:17" ht="13.5" customHeight="1" x14ac:dyDescent="0.2">
      <c r="A8" s="58"/>
      <c r="B8" s="43"/>
      <c r="C8" s="45"/>
      <c r="D8" s="45"/>
      <c r="E8" s="45"/>
      <c r="F8" s="45"/>
      <c r="G8" s="45"/>
      <c r="H8" s="45"/>
      <c r="I8" s="60"/>
      <c r="J8" s="45"/>
      <c r="K8" s="45"/>
      <c r="L8" s="45"/>
      <c r="M8" s="45"/>
      <c r="N8" s="43"/>
      <c r="O8" s="47"/>
      <c r="P8" s="47"/>
      <c r="Q8" s="47"/>
    </row>
    <row r="9" spans="1:17" ht="11.25" customHeight="1" x14ac:dyDescent="0.2">
      <c r="A9" s="58"/>
      <c r="B9" s="43"/>
      <c r="C9" s="45"/>
      <c r="D9" s="45"/>
      <c r="E9" s="45"/>
      <c r="F9" s="45"/>
      <c r="G9" s="45"/>
      <c r="H9" s="45"/>
      <c r="I9" s="60"/>
      <c r="J9" s="45"/>
      <c r="K9" s="45"/>
      <c r="L9" s="45"/>
      <c r="M9" s="45"/>
      <c r="N9" s="43"/>
      <c r="O9" s="47"/>
      <c r="P9" s="47"/>
      <c r="Q9" s="47"/>
    </row>
    <row r="10" spans="1:17" ht="16.5" customHeight="1" x14ac:dyDescent="0.2">
      <c r="A10" s="59"/>
      <c r="B10" s="44"/>
      <c r="C10" s="45"/>
      <c r="D10" s="45"/>
      <c r="E10" s="45"/>
      <c r="F10" s="45"/>
      <c r="G10" s="45"/>
      <c r="H10" s="45"/>
      <c r="I10" s="61"/>
      <c r="J10" s="45"/>
      <c r="K10" s="45"/>
      <c r="L10" s="45"/>
      <c r="M10" s="45"/>
      <c r="N10" s="44"/>
      <c r="O10" s="47"/>
      <c r="P10" s="47"/>
      <c r="Q10" s="47"/>
    </row>
    <row r="11" spans="1:17" ht="16.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4"/>
      <c r="B12" s="36" t="s">
        <v>80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8"/>
      <c r="P12" s="38"/>
      <c r="Q12" s="39"/>
    </row>
    <row r="13" spans="1:17" ht="48" x14ac:dyDescent="0.2">
      <c r="A13" s="27" t="s">
        <v>46</v>
      </c>
      <c r="B13" s="28">
        <f>38100253735.48</f>
        <v>38100253735.480003</v>
      </c>
      <c r="C13" s="28">
        <f>38100252546.77</f>
        <v>38100252546.769997</v>
      </c>
      <c r="D13" s="28">
        <f>2494018308.24</f>
        <v>2494018308.2399998</v>
      </c>
      <c r="E13" s="28">
        <f>255529891.29</f>
        <v>255529891.28999999</v>
      </c>
      <c r="F13" s="28">
        <f>504427531.97</f>
        <v>504427531.97000003</v>
      </c>
      <c r="G13" s="28">
        <f>1731816823.47</f>
        <v>1731816823.47</v>
      </c>
      <c r="H13" s="28">
        <f>2244061.51</f>
        <v>2244061.5099999998</v>
      </c>
      <c r="I13" s="28">
        <f>0</f>
        <v>0</v>
      </c>
      <c r="J13" s="28">
        <f>33567756269.89</f>
        <v>33567756269.889999</v>
      </c>
      <c r="K13" s="28">
        <f>1792332173.25</f>
        <v>1792332173.25</v>
      </c>
      <c r="L13" s="28">
        <f>208748702.57</f>
        <v>208748702.56999999</v>
      </c>
      <c r="M13" s="28">
        <f>21095379.79</f>
        <v>21095379.789999999</v>
      </c>
      <c r="N13" s="28">
        <f>16301713.03</f>
        <v>16301713.029999999</v>
      </c>
      <c r="O13" s="28">
        <f>1188.71</f>
        <v>1188.71</v>
      </c>
      <c r="P13" s="28">
        <f>0</f>
        <v>0</v>
      </c>
      <c r="Q13" s="28">
        <f>1188.71</f>
        <v>1188.71</v>
      </c>
    </row>
    <row r="14" spans="1:17" ht="26.25" customHeight="1" x14ac:dyDescent="0.2">
      <c r="A14" s="29" t="s">
        <v>47</v>
      </c>
      <c r="B14" s="28">
        <f>920949000</f>
        <v>920949000</v>
      </c>
      <c r="C14" s="28">
        <f>920949000</f>
        <v>920949000</v>
      </c>
      <c r="D14" s="28">
        <f>0</f>
        <v>0</v>
      </c>
      <c r="E14" s="28">
        <f>0</f>
        <v>0</v>
      </c>
      <c r="F14" s="28">
        <f>0</f>
        <v>0</v>
      </c>
      <c r="G14" s="28">
        <f>0</f>
        <v>0</v>
      </c>
      <c r="H14" s="28">
        <f>0</f>
        <v>0</v>
      </c>
      <c r="I14" s="28">
        <f>0</f>
        <v>0</v>
      </c>
      <c r="J14" s="28">
        <f>890399000</f>
        <v>890399000</v>
      </c>
      <c r="K14" s="28">
        <f>30550000</f>
        <v>30550000</v>
      </c>
      <c r="L14" s="28">
        <f>0</f>
        <v>0</v>
      </c>
      <c r="M14" s="28">
        <f>0</f>
        <v>0</v>
      </c>
      <c r="N14" s="28">
        <f>0</f>
        <v>0</v>
      </c>
      <c r="O14" s="28">
        <f>0</f>
        <v>0</v>
      </c>
      <c r="P14" s="28">
        <f>0</f>
        <v>0</v>
      </c>
      <c r="Q14" s="28">
        <f>0</f>
        <v>0</v>
      </c>
    </row>
    <row r="15" spans="1:17" ht="27" customHeight="1" x14ac:dyDescent="0.2">
      <c r="A15" s="19" t="s">
        <v>48</v>
      </c>
      <c r="B15" s="33">
        <f>1300000</f>
        <v>1300000</v>
      </c>
      <c r="C15" s="33">
        <f>1300000</f>
        <v>1300000</v>
      </c>
      <c r="D15" s="33">
        <f>0</f>
        <v>0</v>
      </c>
      <c r="E15" s="33">
        <f>0</f>
        <v>0</v>
      </c>
      <c r="F15" s="33">
        <f>0</f>
        <v>0</v>
      </c>
      <c r="G15" s="33">
        <f>0</f>
        <v>0</v>
      </c>
      <c r="H15" s="33">
        <f>0</f>
        <v>0</v>
      </c>
      <c r="I15" s="33">
        <f>0</f>
        <v>0</v>
      </c>
      <c r="J15" s="33">
        <f>1300000</f>
        <v>1300000</v>
      </c>
      <c r="K15" s="33">
        <f>0</f>
        <v>0</v>
      </c>
      <c r="L15" s="33">
        <f>0</f>
        <v>0</v>
      </c>
      <c r="M15" s="33">
        <f>0</f>
        <v>0</v>
      </c>
      <c r="N15" s="33">
        <f>0</f>
        <v>0</v>
      </c>
      <c r="O15" s="33">
        <f>0</f>
        <v>0</v>
      </c>
      <c r="P15" s="33">
        <f>0</f>
        <v>0</v>
      </c>
      <c r="Q15" s="33">
        <f>0</f>
        <v>0</v>
      </c>
    </row>
    <row r="16" spans="1:17" ht="24" customHeight="1" x14ac:dyDescent="0.2">
      <c r="A16" s="19" t="s">
        <v>49</v>
      </c>
      <c r="B16" s="33">
        <f>919649000</f>
        <v>919649000</v>
      </c>
      <c r="C16" s="33">
        <f>919649000</f>
        <v>919649000</v>
      </c>
      <c r="D16" s="33">
        <f>0</f>
        <v>0</v>
      </c>
      <c r="E16" s="33">
        <f>0</f>
        <v>0</v>
      </c>
      <c r="F16" s="33">
        <f>0</f>
        <v>0</v>
      </c>
      <c r="G16" s="33">
        <f>0</f>
        <v>0</v>
      </c>
      <c r="H16" s="33">
        <f>0</f>
        <v>0</v>
      </c>
      <c r="I16" s="33">
        <f>0</f>
        <v>0</v>
      </c>
      <c r="J16" s="33">
        <f>889099000</f>
        <v>889099000</v>
      </c>
      <c r="K16" s="33">
        <f>30550000</f>
        <v>30550000</v>
      </c>
      <c r="L16" s="33">
        <f>0</f>
        <v>0</v>
      </c>
      <c r="M16" s="33">
        <f>0</f>
        <v>0</v>
      </c>
      <c r="N16" s="33">
        <f>0</f>
        <v>0</v>
      </c>
      <c r="O16" s="33">
        <f>0</f>
        <v>0</v>
      </c>
      <c r="P16" s="33">
        <f>0</f>
        <v>0</v>
      </c>
      <c r="Q16" s="33">
        <f>0</f>
        <v>0</v>
      </c>
    </row>
    <row r="17" spans="1:17" ht="31.5" customHeight="1" x14ac:dyDescent="0.2">
      <c r="A17" s="30" t="s">
        <v>50</v>
      </c>
      <c r="B17" s="28">
        <f>37085794759.97</f>
        <v>37085794759.970001</v>
      </c>
      <c r="C17" s="28">
        <f>37085794759.97</f>
        <v>37085794759.970001</v>
      </c>
      <c r="D17" s="28">
        <f>2461104345.08</f>
        <v>2461104345.0799999</v>
      </c>
      <c r="E17" s="28">
        <f>249910626.47</f>
        <v>249910626.47</v>
      </c>
      <c r="F17" s="28">
        <f>503739774.87</f>
        <v>503739774.87</v>
      </c>
      <c r="G17" s="28">
        <f>1707453943.74</f>
        <v>1707453943.74</v>
      </c>
      <c r="H17" s="28">
        <f>0</f>
        <v>0</v>
      </c>
      <c r="I17" s="28">
        <f>0</f>
        <v>0</v>
      </c>
      <c r="J17" s="28">
        <f>32676052547.55</f>
        <v>32676052547.549999</v>
      </c>
      <c r="K17" s="28">
        <f>1760530009.86</f>
        <v>1760530009.8599999</v>
      </c>
      <c r="L17" s="28">
        <f>171428840.66</f>
        <v>171428840.66</v>
      </c>
      <c r="M17" s="28">
        <f>3614779.99</f>
        <v>3614779.99</v>
      </c>
      <c r="N17" s="28">
        <f>13064236.83</f>
        <v>13064236.83</v>
      </c>
      <c r="O17" s="28">
        <f>0</f>
        <v>0</v>
      </c>
      <c r="P17" s="28">
        <f>0</f>
        <v>0</v>
      </c>
      <c r="Q17" s="28">
        <f>0</f>
        <v>0</v>
      </c>
    </row>
    <row r="18" spans="1:17" ht="33" customHeight="1" x14ac:dyDescent="0.2">
      <c r="A18" s="20" t="s">
        <v>51</v>
      </c>
      <c r="B18" s="33">
        <f>751565388.41</f>
        <v>751565388.40999997</v>
      </c>
      <c r="C18" s="33">
        <f>751565388.41</f>
        <v>751565388.40999997</v>
      </c>
      <c r="D18" s="33">
        <f>41372183.62</f>
        <v>41372183.619999997</v>
      </c>
      <c r="E18" s="33">
        <f>33454691.29</f>
        <v>33454691.289999999</v>
      </c>
      <c r="F18" s="33">
        <f>547942</f>
        <v>547942</v>
      </c>
      <c r="G18" s="33">
        <f>7369550.33</f>
        <v>7369550.3300000001</v>
      </c>
      <c r="H18" s="33">
        <f>0</f>
        <v>0</v>
      </c>
      <c r="I18" s="33">
        <f>0</f>
        <v>0</v>
      </c>
      <c r="J18" s="33">
        <f>693928602.93</f>
        <v>693928602.92999995</v>
      </c>
      <c r="K18" s="33">
        <f>16103759.01</f>
        <v>16103759.01</v>
      </c>
      <c r="L18" s="33">
        <f>160842.85</f>
        <v>160842.85</v>
      </c>
      <c r="M18" s="33">
        <f>0</f>
        <v>0</v>
      </c>
      <c r="N18" s="33">
        <f>0</f>
        <v>0</v>
      </c>
      <c r="O18" s="33">
        <f>0</f>
        <v>0</v>
      </c>
      <c r="P18" s="33">
        <f>0</f>
        <v>0</v>
      </c>
      <c r="Q18" s="33">
        <f>0</f>
        <v>0</v>
      </c>
    </row>
    <row r="19" spans="1:17" ht="25.5" customHeight="1" x14ac:dyDescent="0.2">
      <c r="A19" s="21" t="s">
        <v>52</v>
      </c>
      <c r="B19" s="33">
        <f>36334229371.56</f>
        <v>36334229371.559998</v>
      </c>
      <c r="C19" s="33">
        <f>36334229371.56</f>
        <v>36334229371.559998</v>
      </c>
      <c r="D19" s="33">
        <f>2419732161.46</f>
        <v>2419732161.46</v>
      </c>
      <c r="E19" s="33">
        <f>216455935.18</f>
        <v>216455935.18000001</v>
      </c>
      <c r="F19" s="33">
        <f>503191832.87</f>
        <v>503191832.87</v>
      </c>
      <c r="G19" s="33">
        <f>1700084393.41</f>
        <v>1700084393.4100001</v>
      </c>
      <c r="H19" s="33">
        <f>0</f>
        <v>0</v>
      </c>
      <c r="I19" s="33">
        <f>0</f>
        <v>0</v>
      </c>
      <c r="J19" s="33">
        <f>31982123944.62</f>
        <v>31982123944.619999</v>
      </c>
      <c r="K19" s="33">
        <f>1744426250.85</f>
        <v>1744426250.8499999</v>
      </c>
      <c r="L19" s="33">
        <f>171267997.81</f>
        <v>171267997.81</v>
      </c>
      <c r="M19" s="33">
        <f>3614779.99</f>
        <v>3614779.99</v>
      </c>
      <c r="N19" s="33">
        <f>13064236.83</f>
        <v>13064236.83</v>
      </c>
      <c r="O19" s="33">
        <f>0</f>
        <v>0</v>
      </c>
      <c r="P19" s="33">
        <f>0</f>
        <v>0</v>
      </c>
      <c r="Q19" s="33">
        <f>0</f>
        <v>0</v>
      </c>
    </row>
    <row r="20" spans="1:17" ht="27.75" customHeight="1" x14ac:dyDescent="0.2">
      <c r="A20" s="31" t="s">
        <v>53</v>
      </c>
      <c r="B20" s="28">
        <f>1500000</f>
        <v>1500000</v>
      </c>
      <c r="C20" s="28">
        <f>1500000</f>
        <v>1500000</v>
      </c>
      <c r="D20" s="28">
        <f>1500000</f>
        <v>1500000</v>
      </c>
      <c r="E20" s="28">
        <f>0</f>
        <v>0</v>
      </c>
      <c r="F20" s="28">
        <f>0</f>
        <v>0</v>
      </c>
      <c r="G20" s="28">
        <f>1500000</f>
        <v>1500000</v>
      </c>
      <c r="H20" s="28">
        <f>0</f>
        <v>0</v>
      </c>
      <c r="I20" s="28">
        <f>0</f>
        <v>0</v>
      </c>
      <c r="J20" s="28">
        <f>0</f>
        <v>0</v>
      </c>
      <c r="K20" s="28">
        <f>0</f>
        <v>0</v>
      </c>
      <c r="L20" s="28">
        <f>0</f>
        <v>0</v>
      </c>
      <c r="M20" s="28">
        <f>0</f>
        <v>0</v>
      </c>
      <c r="N20" s="28">
        <f>0</f>
        <v>0</v>
      </c>
      <c r="O20" s="28">
        <f>0</f>
        <v>0</v>
      </c>
      <c r="P20" s="28">
        <f>0</f>
        <v>0</v>
      </c>
      <c r="Q20" s="28">
        <f>0</f>
        <v>0</v>
      </c>
    </row>
    <row r="21" spans="1:17" ht="36" x14ac:dyDescent="0.2">
      <c r="A21" s="32" t="s">
        <v>54</v>
      </c>
      <c r="B21" s="28">
        <f>92009975.51</f>
        <v>92009975.510000005</v>
      </c>
      <c r="C21" s="28">
        <f>92008786.8</f>
        <v>92008786.799999997</v>
      </c>
      <c r="D21" s="28">
        <f>31413963.16</f>
        <v>31413963.16</v>
      </c>
      <c r="E21" s="28">
        <f>5619264.82</f>
        <v>5619264.8200000003</v>
      </c>
      <c r="F21" s="28">
        <f>687757.1</f>
        <v>687757.1</v>
      </c>
      <c r="G21" s="28">
        <f>22862879.73</f>
        <v>22862879.73</v>
      </c>
      <c r="H21" s="28">
        <f>2244061.51</f>
        <v>2244061.5099999998</v>
      </c>
      <c r="I21" s="28">
        <f>0</f>
        <v>0</v>
      </c>
      <c r="J21" s="28">
        <f>1304722.34</f>
        <v>1304722.3400000001</v>
      </c>
      <c r="K21" s="28">
        <f>1252163.39</f>
        <v>1252163.3899999999</v>
      </c>
      <c r="L21" s="28">
        <f>37319861.91</f>
        <v>37319861.909999996</v>
      </c>
      <c r="M21" s="28">
        <f>17480599.8</f>
        <v>17480599.800000001</v>
      </c>
      <c r="N21" s="28">
        <f>3237476.2</f>
        <v>3237476.2</v>
      </c>
      <c r="O21" s="28">
        <f>1188.71</f>
        <v>1188.71</v>
      </c>
      <c r="P21" s="28">
        <f>0</f>
        <v>0</v>
      </c>
      <c r="Q21" s="28">
        <f>1188.71</f>
        <v>1188.71</v>
      </c>
    </row>
    <row r="22" spans="1:17" ht="27" customHeight="1" x14ac:dyDescent="0.2">
      <c r="A22" s="19" t="s">
        <v>55</v>
      </c>
      <c r="B22" s="33">
        <f>51466865.78</f>
        <v>51466865.780000001</v>
      </c>
      <c r="C22" s="33">
        <f>51466865.78</f>
        <v>51466865.780000001</v>
      </c>
      <c r="D22" s="33">
        <f>9842816.43</f>
        <v>9842816.4299999997</v>
      </c>
      <c r="E22" s="33">
        <f>172205.71</f>
        <v>172205.71</v>
      </c>
      <c r="F22" s="33">
        <f>625827.1</f>
        <v>625827.1</v>
      </c>
      <c r="G22" s="33">
        <f>9044783.62</f>
        <v>9044783.6199999992</v>
      </c>
      <c r="H22" s="33">
        <f>0</f>
        <v>0</v>
      </c>
      <c r="I22" s="33">
        <f>0</f>
        <v>0</v>
      </c>
      <c r="J22" s="33">
        <f>168535.49</f>
        <v>168535.49</v>
      </c>
      <c r="K22" s="33">
        <f>1244021.79</f>
        <v>1244021.79</v>
      </c>
      <c r="L22" s="33">
        <f>31011772.83</f>
        <v>31011772.829999998</v>
      </c>
      <c r="M22" s="33">
        <f>6536432.37</f>
        <v>6536432.3700000001</v>
      </c>
      <c r="N22" s="33">
        <f>2663286.87</f>
        <v>2663286.87</v>
      </c>
      <c r="O22" s="33">
        <f>0</f>
        <v>0</v>
      </c>
      <c r="P22" s="33">
        <f>0</f>
        <v>0</v>
      </c>
      <c r="Q22" s="33">
        <f>0</f>
        <v>0</v>
      </c>
    </row>
    <row r="23" spans="1:17" ht="31.5" customHeight="1" x14ac:dyDescent="0.2">
      <c r="A23" s="25" t="s">
        <v>56</v>
      </c>
      <c r="B23" s="33">
        <f>40543109.73</f>
        <v>40543109.729999997</v>
      </c>
      <c r="C23" s="33">
        <f>40541921.02</f>
        <v>40541921.020000003</v>
      </c>
      <c r="D23" s="33">
        <f>21571146.73</f>
        <v>21571146.73</v>
      </c>
      <c r="E23" s="33">
        <f>5447059.11</f>
        <v>5447059.1100000003</v>
      </c>
      <c r="F23" s="33">
        <f>61930</f>
        <v>61930</v>
      </c>
      <c r="G23" s="33">
        <f>13818096.11</f>
        <v>13818096.109999999</v>
      </c>
      <c r="H23" s="33">
        <f>2244061.51</f>
        <v>2244061.5099999998</v>
      </c>
      <c r="I23" s="33">
        <f>0</f>
        <v>0</v>
      </c>
      <c r="J23" s="33">
        <f>1136186.85</f>
        <v>1136186.8500000001</v>
      </c>
      <c r="K23" s="33">
        <f>8141.6</f>
        <v>8141.6</v>
      </c>
      <c r="L23" s="33">
        <f>6308089.08</f>
        <v>6308089.0800000001</v>
      </c>
      <c r="M23" s="33">
        <f>10944167.43</f>
        <v>10944167.43</v>
      </c>
      <c r="N23" s="33">
        <f>574189.33</f>
        <v>574189.32999999996</v>
      </c>
      <c r="O23" s="33">
        <f>1188.71</f>
        <v>1188.71</v>
      </c>
      <c r="P23" s="33">
        <f>0</f>
        <v>0</v>
      </c>
      <c r="Q23" s="33">
        <f>1188.71</f>
        <v>1188.71</v>
      </c>
    </row>
    <row r="24" spans="1:17" ht="19.5" customHeight="1" x14ac:dyDescent="0.2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ht="19.5" customHeight="1" x14ac:dyDescent="0.2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9.5" customHeight="1" x14ac:dyDescent="0.2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9.5" customHeight="1" x14ac:dyDescent="0.2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9.5" customHeight="1" x14ac:dyDescent="0.2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ht="19.5" customHeight="1" x14ac:dyDescent="0.2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9.5" customHeight="1" x14ac:dyDescent="0.2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19.5" customHeight="1" x14ac:dyDescent="0.2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9.5" customHeight="1" x14ac:dyDescent="0.2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ht="19.5" customHeight="1" x14ac:dyDescent="0.2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 ht="45.75" customHeight="1" x14ac:dyDescent="0.2">
      <c r="A34" s="51" t="str">
        <f>CONCATENATE("Informacja z wykonania budżetów gmin za ",$C$104," ",$B$105," roku   ",$B$107,"")</f>
        <v xml:space="preserve">Informacja z wykonania budżetów gmin za II Kwartały 2024 roku   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</row>
    <row r="36" spans="1:17" ht="13.5" customHeight="1" x14ac:dyDescent="0.2">
      <c r="A36" s="55" t="s">
        <v>11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  <row r="38" spans="1:17" ht="13.5" customHeight="1" x14ac:dyDescent="0.2">
      <c r="A38" s="40" t="s">
        <v>0</v>
      </c>
      <c r="B38" s="56" t="s">
        <v>12</v>
      </c>
      <c r="C38" s="48" t="s">
        <v>14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50"/>
      <c r="O38" s="52" t="s">
        <v>24</v>
      </c>
      <c r="P38" s="53"/>
      <c r="Q38" s="54"/>
    </row>
    <row r="39" spans="1:17" ht="13.5" customHeight="1" x14ac:dyDescent="0.2">
      <c r="A39" s="41"/>
      <c r="B39" s="43"/>
      <c r="C39" s="43" t="s">
        <v>13</v>
      </c>
      <c r="D39" s="45" t="s">
        <v>15</v>
      </c>
      <c r="E39" s="45" t="s">
        <v>25</v>
      </c>
      <c r="F39" s="45" t="s">
        <v>26</v>
      </c>
      <c r="G39" s="45" t="s">
        <v>74</v>
      </c>
      <c r="H39" s="45" t="s">
        <v>28</v>
      </c>
      <c r="I39" s="45" t="s">
        <v>1</v>
      </c>
      <c r="J39" s="45" t="s">
        <v>16</v>
      </c>
      <c r="K39" s="45" t="s">
        <v>17</v>
      </c>
      <c r="L39" s="45" t="s">
        <v>18</v>
      </c>
      <c r="M39" s="45" t="s">
        <v>19</v>
      </c>
      <c r="N39" s="89" t="s">
        <v>20</v>
      </c>
      <c r="O39" s="47" t="s">
        <v>21</v>
      </c>
      <c r="P39" s="47" t="s">
        <v>22</v>
      </c>
      <c r="Q39" s="98" t="s">
        <v>23</v>
      </c>
    </row>
    <row r="40" spans="1:17" ht="11.25" customHeight="1" x14ac:dyDescent="0.2">
      <c r="A40" s="41"/>
      <c r="B40" s="43"/>
      <c r="C40" s="43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89"/>
      <c r="O40" s="47"/>
      <c r="P40" s="47"/>
      <c r="Q40" s="99"/>
    </row>
    <row r="41" spans="1:17" ht="32.25" customHeight="1" x14ac:dyDescent="0.2">
      <c r="A41" s="42"/>
      <c r="B41" s="44"/>
      <c r="C41" s="44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89"/>
      <c r="O41" s="47"/>
      <c r="P41" s="47"/>
      <c r="Q41" s="100"/>
    </row>
    <row r="42" spans="1:17" ht="12.75" customHeight="1" x14ac:dyDescent="0.2">
      <c r="A42" s="14">
        <v>1</v>
      </c>
      <c r="B42" s="14">
        <v>2</v>
      </c>
      <c r="C42" s="14">
        <v>3</v>
      </c>
      <c r="D42" s="14">
        <v>4</v>
      </c>
      <c r="E42" s="14">
        <v>5</v>
      </c>
      <c r="F42" s="14">
        <v>6</v>
      </c>
      <c r="G42" s="14">
        <v>7</v>
      </c>
      <c r="H42" s="14">
        <v>8</v>
      </c>
      <c r="I42" s="14">
        <v>9</v>
      </c>
      <c r="J42" s="14">
        <v>10</v>
      </c>
      <c r="K42" s="14">
        <v>11</v>
      </c>
      <c r="L42" s="14">
        <v>12</v>
      </c>
      <c r="M42" s="14">
        <v>13</v>
      </c>
      <c r="N42" s="14">
        <v>14</v>
      </c>
      <c r="O42" s="14">
        <v>15</v>
      </c>
      <c r="P42" s="14">
        <v>16</v>
      </c>
      <c r="Q42" s="14">
        <v>17</v>
      </c>
    </row>
    <row r="43" spans="1:17" ht="13.5" customHeight="1" x14ac:dyDescent="0.2">
      <c r="A43" s="14"/>
      <c r="B43" s="48" t="s">
        <v>80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50"/>
    </row>
    <row r="44" spans="1:17" ht="24.75" customHeight="1" x14ac:dyDescent="0.2">
      <c r="A44" s="34" t="s">
        <v>41</v>
      </c>
      <c r="B44" s="35">
        <f>12749660.13</f>
        <v>12749660.130000001</v>
      </c>
      <c r="C44" s="35">
        <f>12749660.13</f>
        <v>12749660.130000001</v>
      </c>
      <c r="D44" s="35">
        <f>5510037.15</f>
        <v>5510037.1500000004</v>
      </c>
      <c r="E44" s="35">
        <f>5510037.15</f>
        <v>5510037.1500000004</v>
      </c>
      <c r="F44" s="35">
        <f>0</f>
        <v>0</v>
      </c>
      <c r="G44" s="35">
        <f>0</f>
        <v>0</v>
      </c>
      <c r="H44" s="35">
        <f>0</f>
        <v>0</v>
      </c>
      <c r="I44" s="35">
        <f>0</f>
        <v>0</v>
      </c>
      <c r="J44" s="35">
        <f>206160.2</f>
        <v>206160.2</v>
      </c>
      <c r="K44" s="35">
        <f>28250</f>
        <v>28250</v>
      </c>
      <c r="L44" s="35">
        <f>1852900.13</f>
        <v>1852900.13</v>
      </c>
      <c r="M44" s="35">
        <f>4960812.65</f>
        <v>4960812.6500000004</v>
      </c>
      <c r="N44" s="35">
        <f>191500</f>
        <v>191500</v>
      </c>
      <c r="O44" s="35">
        <f>0</f>
        <v>0</v>
      </c>
      <c r="P44" s="35">
        <f>0</f>
        <v>0</v>
      </c>
      <c r="Q44" s="35">
        <f>0</f>
        <v>0</v>
      </c>
    </row>
    <row r="45" spans="1:17" ht="24.75" customHeight="1" x14ac:dyDescent="0.2">
      <c r="A45" s="23" t="s">
        <v>29</v>
      </c>
      <c r="B45" s="26">
        <f>6454132.77</f>
        <v>6454132.7699999996</v>
      </c>
      <c r="C45" s="26">
        <f>6454132.77</f>
        <v>6454132.7699999996</v>
      </c>
      <c r="D45" s="26">
        <f>5500029.95</f>
        <v>5500029.9500000002</v>
      </c>
      <c r="E45" s="26">
        <f>5500029.95</f>
        <v>5500029.9500000002</v>
      </c>
      <c r="F45" s="26">
        <f>0</f>
        <v>0</v>
      </c>
      <c r="G45" s="26">
        <f>0</f>
        <v>0</v>
      </c>
      <c r="H45" s="26">
        <f>0</f>
        <v>0</v>
      </c>
      <c r="I45" s="26">
        <f>0</f>
        <v>0</v>
      </c>
      <c r="J45" s="26">
        <f>6000</f>
        <v>6000</v>
      </c>
      <c r="K45" s="26">
        <f>0</f>
        <v>0</v>
      </c>
      <c r="L45" s="26">
        <f>824079.48</f>
        <v>824079.48</v>
      </c>
      <c r="M45" s="26">
        <f>4023.34</f>
        <v>4023.34</v>
      </c>
      <c r="N45" s="26">
        <f>120000</f>
        <v>120000</v>
      </c>
      <c r="O45" s="15">
        <f>0</f>
        <v>0</v>
      </c>
      <c r="P45" s="15">
        <f>0</f>
        <v>0</v>
      </c>
      <c r="Q45" s="15">
        <f>0</f>
        <v>0</v>
      </c>
    </row>
    <row r="46" spans="1:17" ht="24.75" customHeight="1" x14ac:dyDescent="0.2">
      <c r="A46" s="23" t="s">
        <v>30</v>
      </c>
      <c r="B46" s="26">
        <f>6295527.36</f>
        <v>6295527.3600000003</v>
      </c>
      <c r="C46" s="26">
        <f>6295527.36</f>
        <v>6295527.3600000003</v>
      </c>
      <c r="D46" s="26">
        <f>10007.2</f>
        <v>10007.200000000001</v>
      </c>
      <c r="E46" s="26">
        <f>10007.2</f>
        <v>10007.200000000001</v>
      </c>
      <c r="F46" s="26">
        <f>0</f>
        <v>0</v>
      </c>
      <c r="G46" s="26">
        <f>0</f>
        <v>0</v>
      </c>
      <c r="H46" s="26">
        <f>0</f>
        <v>0</v>
      </c>
      <c r="I46" s="26">
        <f>0</f>
        <v>0</v>
      </c>
      <c r="J46" s="26">
        <f>200160.2</f>
        <v>200160.2</v>
      </c>
      <c r="K46" s="26">
        <f>28250</f>
        <v>28250</v>
      </c>
      <c r="L46" s="26">
        <f>1028820.65</f>
        <v>1028820.65</v>
      </c>
      <c r="M46" s="26">
        <f>4956789.31</f>
        <v>4956789.3099999996</v>
      </c>
      <c r="N46" s="26">
        <f>71500</f>
        <v>71500</v>
      </c>
      <c r="O46" s="15">
        <f>0</f>
        <v>0</v>
      </c>
      <c r="P46" s="15">
        <f>0</f>
        <v>0</v>
      </c>
      <c r="Q46" s="15">
        <f>0</f>
        <v>0</v>
      </c>
    </row>
    <row r="47" spans="1:17" ht="24.75" customHeight="1" x14ac:dyDescent="0.2">
      <c r="A47" s="24" t="s">
        <v>42</v>
      </c>
      <c r="B47" s="26">
        <f>477194906.97</f>
        <v>477194906.97000003</v>
      </c>
      <c r="C47" s="26">
        <f>477188252.15</f>
        <v>477188252.14999998</v>
      </c>
      <c r="D47" s="26">
        <f>29648785.33</f>
        <v>29648785.329999998</v>
      </c>
      <c r="E47" s="26">
        <f>4307834.4</f>
        <v>4307834.4000000004</v>
      </c>
      <c r="F47" s="26">
        <f>4048.05</f>
        <v>4048.05</v>
      </c>
      <c r="G47" s="26">
        <f>25334166.88</f>
        <v>25334166.879999999</v>
      </c>
      <c r="H47" s="26">
        <f>2736</f>
        <v>2736</v>
      </c>
      <c r="I47" s="26">
        <f>0</f>
        <v>0</v>
      </c>
      <c r="J47" s="26">
        <f>14642009.14</f>
        <v>14642009.140000001</v>
      </c>
      <c r="K47" s="26">
        <f>659843.22</f>
        <v>659843.22</v>
      </c>
      <c r="L47" s="26">
        <f>178780018.77</f>
        <v>178780018.77000001</v>
      </c>
      <c r="M47" s="26">
        <f>203801400.1</f>
        <v>203801400.09999999</v>
      </c>
      <c r="N47" s="26">
        <f>49656195.59</f>
        <v>49656195.590000004</v>
      </c>
      <c r="O47" s="15">
        <f>6654.82</f>
        <v>6654.82</v>
      </c>
      <c r="P47" s="15">
        <f>6654.82</f>
        <v>6654.82</v>
      </c>
      <c r="Q47" s="15">
        <f>0</f>
        <v>0</v>
      </c>
    </row>
    <row r="48" spans="1:17" ht="24.75" customHeight="1" x14ac:dyDescent="0.2">
      <c r="A48" s="23" t="s">
        <v>31</v>
      </c>
      <c r="B48" s="26">
        <f>86657793.21</f>
        <v>86657793.209999993</v>
      </c>
      <c r="C48" s="26">
        <f>86657793.21</f>
        <v>86657793.209999993</v>
      </c>
      <c r="D48" s="26">
        <f>13202114.6</f>
        <v>13202114.6</v>
      </c>
      <c r="E48" s="26">
        <f>4300000</f>
        <v>4300000</v>
      </c>
      <c r="F48" s="26">
        <f>0</f>
        <v>0</v>
      </c>
      <c r="G48" s="26">
        <f>8902114.6</f>
        <v>8902114.5999999996</v>
      </c>
      <c r="H48" s="26">
        <f>0</f>
        <v>0</v>
      </c>
      <c r="I48" s="26">
        <f>0</f>
        <v>0</v>
      </c>
      <c r="J48" s="26">
        <f>4591766.61</f>
        <v>4591766.6100000003</v>
      </c>
      <c r="K48" s="26">
        <f>484704</f>
        <v>484704</v>
      </c>
      <c r="L48" s="26">
        <f>36185234.94</f>
        <v>36185234.939999998</v>
      </c>
      <c r="M48" s="26">
        <f>2570079.83</f>
        <v>2570079.83</v>
      </c>
      <c r="N48" s="26">
        <f>29623893.23</f>
        <v>29623893.23</v>
      </c>
      <c r="O48" s="15">
        <f>0</f>
        <v>0</v>
      </c>
      <c r="P48" s="15">
        <f>0</f>
        <v>0</v>
      </c>
      <c r="Q48" s="15">
        <f>0</f>
        <v>0</v>
      </c>
    </row>
    <row r="49" spans="1:17" ht="24.75" customHeight="1" x14ac:dyDescent="0.2">
      <c r="A49" s="23" t="s">
        <v>32</v>
      </c>
      <c r="B49" s="26">
        <f>390537113.76</f>
        <v>390537113.75999999</v>
      </c>
      <c r="C49" s="26">
        <f>390530458.94</f>
        <v>390530458.94</v>
      </c>
      <c r="D49" s="26">
        <f>16446670.73</f>
        <v>16446670.73</v>
      </c>
      <c r="E49" s="26">
        <f>7834.4</f>
        <v>7834.4</v>
      </c>
      <c r="F49" s="26">
        <f>4048.05</f>
        <v>4048.05</v>
      </c>
      <c r="G49" s="26">
        <f>16432052.28</f>
        <v>16432052.279999999</v>
      </c>
      <c r="H49" s="26">
        <f>2736</f>
        <v>2736</v>
      </c>
      <c r="I49" s="26">
        <f>0</f>
        <v>0</v>
      </c>
      <c r="J49" s="26">
        <f>10050242.53</f>
        <v>10050242.529999999</v>
      </c>
      <c r="K49" s="26">
        <f>175139.22</f>
        <v>175139.22</v>
      </c>
      <c r="L49" s="26">
        <f>142594783.83</f>
        <v>142594783.83000001</v>
      </c>
      <c r="M49" s="26">
        <f>201231320.27</f>
        <v>201231320.27000001</v>
      </c>
      <c r="N49" s="26">
        <f>20032302.36</f>
        <v>20032302.359999999</v>
      </c>
      <c r="O49" s="15">
        <f>6654.82</f>
        <v>6654.82</v>
      </c>
      <c r="P49" s="15">
        <f>6654.82</f>
        <v>6654.82</v>
      </c>
      <c r="Q49" s="15">
        <f>0</f>
        <v>0</v>
      </c>
    </row>
    <row r="50" spans="1:17" ht="24.75" customHeight="1" x14ac:dyDescent="0.2">
      <c r="A50" s="34" t="s">
        <v>43</v>
      </c>
      <c r="B50" s="35">
        <f>24358834771.42</f>
        <v>24358834771.419998</v>
      </c>
      <c r="C50" s="35">
        <f>24358834771.42</f>
        <v>24358834771.419998</v>
      </c>
      <c r="D50" s="35">
        <f>31326506.12</f>
        <v>31326506.120000001</v>
      </c>
      <c r="E50" s="35">
        <f>5867804.37</f>
        <v>5867804.3700000001</v>
      </c>
      <c r="F50" s="35">
        <f>11194.58</f>
        <v>11194.58</v>
      </c>
      <c r="G50" s="35">
        <f>9949425.88</f>
        <v>9949425.8800000008</v>
      </c>
      <c r="H50" s="35">
        <f>15498081.29</f>
        <v>15498081.289999999</v>
      </c>
      <c r="I50" s="35">
        <f>108247.27</f>
        <v>108247.27</v>
      </c>
      <c r="J50" s="35">
        <f>24316089230.85</f>
        <v>24316089230.849998</v>
      </c>
      <c r="K50" s="35">
        <f>168129.18</f>
        <v>168129.18</v>
      </c>
      <c r="L50" s="35">
        <f>11002495.23</f>
        <v>11002495.23</v>
      </c>
      <c r="M50" s="35">
        <f>140162.77</f>
        <v>140162.76999999999</v>
      </c>
      <c r="N50" s="35">
        <f>0</f>
        <v>0</v>
      </c>
      <c r="O50" s="35">
        <f>0</f>
        <v>0</v>
      </c>
      <c r="P50" s="35">
        <f>0</f>
        <v>0</v>
      </c>
      <c r="Q50" s="35">
        <f>0</f>
        <v>0</v>
      </c>
    </row>
    <row r="51" spans="1:17" ht="24.75" customHeight="1" x14ac:dyDescent="0.2">
      <c r="A51" s="23" t="s">
        <v>33</v>
      </c>
      <c r="B51" s="26">
        <f>9887975.68</f>
        <v>9887975.6799999997</v>
      </c>
      <c r="C51" s="26">
        <f>9887975.68</f>
        <v>9887975.6799999997</v>
      </c>
      <c r="D51" s="26">
        <f>9887975.68</f>
        <v>9887975.6799999997</v>
      </c>
      <c r="E51" s="26">
        <f>0</f>
        <v>0</v>
      </c>
      <c r="F51" s="26">
        <f>0</f>
        <v>0</v>
      </c>
      <c r="G51" s="26">
        <f>9887975.68</f>
        <v>9887975.6799999997</v>
      </c>
      <c r="H51" s="26">
        <f>0</f>
        <v>0</v>
      </c>
      <c r="I51" s="26">
        <f>0</f>
        <v>0</v>
      </c>
      <c r="J51" s="26">
        <f>0</f>
        <v>0</v>
      </c>
      <c r="K51" s="26">
        <f>0</f>
        <v>0</v>
      </c>
      <c r="L51" s="26">
        <f>0</f>
        <v>0</v>
      </c>
      <c r="M51" s="26">
        <f>0</f>
        <v>0</v>
      </c>
      <c r="N51" s="26">
        <f>0</f>
        <v>0</v>
      </c>
      <c r="O51" s="15">
        <f>0</f>
        <v>0</v>
      </c>
      <c r="P51" s="15">
        <f>0</f>
        <v>0</v>
      </c>
      <c r="Q51" s="15">
        <f>0</f>
        <v>0</v>
      </c>
    </row>
    <row r="52" spans="1:17" ht="24.75" customHeight="1" x14ac:dyDescent="0.2">
      <c r="A52" s="23" t="s">
        <v>34</v>
      </c>
      <c r="B52" s="26">
        <f>17139309316.65</f>
        <v>17139309316.65</v>
      </c>
      <c r="C52" s="26">
        <f>17139309316.65</f>
        <v>17139309316.65</v>
      </c>
      <c r="D52" s="26">
        <f>4547842.84</f>
        <v>4547842.84</v>
      </c>
      <c r="E52" s="26">
        <f>35885.32</f>
        <v>35885.32</v>
      </c>
      <c r="F52" s="26">
        <f>4730</f>
        <v>4730</v>
      </c>
      <c r="G52" s="26">
        <f>0</f>
        <v>0</v>
      </c>
      <c r="H52" s="26">
        <f>4507227.52</f>
        <v>4507227.5199999996</v>
      </c>
      <c r="I52" s="26">
        <f>108247.27</f>
        <v>108247.27</v>
      </c>
      <c r="J52" s="26">
        <f>17123739101.43</f>
        <v>17123739101.43</v>
      </c>
      <c r="K52" s="26">
        <f>165622.86</f>
        <v>165622.85999999999</v>
      </c>
      <c r="L52" s="26">
        <f>10738519.17</f>
        <v>10738519.17</v>
      </c>
      <c r="M52" s="26">
        <f>9983.08</f>
        <v>9983.08</v>
      </c>
      <c r="N52" s="26">
        <f>0</f>
        <v>0</v>
      </c>
      <c r="O52" s="15">
        <f>0</f>
        <v>0</v>
      </c>
      <c r="P52" s="15">
        <f>0</f>
        <v>0</v>
      </c>
      <c r="Q52" s="15">
        <f>0</f>
        <v>0</v>
      </c>
    </row>
    <row r="53" spans="1:17" ht="24.75" customHeight="1" x14ac:dyDescent="0.2">
      <c r="A53" s="23" t="s">
        <v>35</v>
      </c>
      <c r="B53" s="26">
        <f>7209637479.09</f>
        <v>7209637479.0900002</v>
      </c>
      <c r="C53" s="26">
        <f>7209637479.09</f>
        <v>7209637479.0900002</v>
      </c>
      <c r="D53" s="26">
        <f>16890687.6</f>
        <v>16890687.600000001</v>
      </c>
      <c r="E53" s="26">
        <f>5831919.05</f>
        <v>5831919.0499999998</v>
      </c>
      <c r="F53" s="26">
        <f>6464.58</f>
        <v>6464.58</v>
      </c>
      <c r="G53" s="26">
        <f>61450.2</f>
        <v>61450.2</v>
      </c>
      <c r="H53" s="26">
        <f>10990853.77</f>
        <v>10990853.77</v>
      </c>
      <c r="I53" s="26">
        <f>0</f>
        <v>0</v>
      </c>
      <c r="J53" s="26">
        <f>7192350129.42</f>
        <v>7192350129.4200001</v>
      </c>
      <c r="K53" s="26">
        <f>2506.32</f>
        <v>2506.3200000000002</v>
      </c>
      <c r="L53" s="26">
        <f>263976.06</f>
        <v>263976.06</v>
      </c>
      <c r="M53" s="26">
        <f>130179.69</f>
        <v>130179.69</v>
      </c>
      <c r="N53" s="26">
        <f>0</f>
        <v>0</v>
      </c>
      <c r="O53" s="15">
        <f>0</f>
        <v>0</v>
      </c>
      <c r="P53" s="15">
        <f>0</f>
        <v>0</v>
      </c>
      <c r="Q53" s="15">
        <f>0</f>
        <v>0</v>
      </c>
    </row>
    <row r="54" spans="1:17" ht="24.75" customHeight="1" x14ac:dyDescent="0.2">
      <c r="A54" s="34" t="s">
        <v>44</v>
      </c>
      <c r="B54" s="35">
        <f>10389868419.18</f>
        <v>10389868419.18</v>
      </c>
      <c r="C54" s="35">
        <f>10358455129.17</f>
        <v>10358455129.17</v>
      </c>
      <c r="D54" s="35">
        <f>95340643.97</f>
        <v>95340643.969999999</v>
      </c>
      <c r="E54" s="35">
        <f>53610878.51</f>
        <v>53610878.509999998</v>
      </c>
      <c r="F54" s="35">
        <f>792260.03</f>
        <v>792260.03</v>
      </c>
      <c r="G54" s="35">
        <f>40549725.52</f>
        <v>40549725.520000003</v>
      </c>
      <c r="H54" s="35">
        <f>387779.91</f>
        <v>387779.91</v>
      </c>
      <c r="I54" s="35">
        <f>0</f>
        <v>0</v>
      </c>
      <c r="J54" s="35">
        <f>10319930.53</f>
        <v>10319930.529999999</v>
      </c>
      <c r="K54" s="35">
        <f>7492586.94</f>
        <v>7492586.9400000004</v>
      </c>
      <c r="L54" s="35">
        <f>2278929029.82</f>
        <v>2278929029.8200002</v>
      </c>
      <c r="M54" s="35">
        <f>7881933506.64</f>
        <v>7881933506.6400003</v>
      </c>
      <c r="N54" s="35">
        <f>84439431.27</f>
        <v>84439431.269999996</v>
      </c>
      <c r="O54" s="35">
        <f>31413290.01</f>
        <v>31413290.010000002</v>
      </c>
      <c r="P54" s="35">
        <f>19897624.72</f>
        <v>19897624.719999999</v>
      </c>
      <c r="Q54" s="35">
        <f>11515665.29</f>
        <v>11515665.289999999</v>
      </c>
    </row>
    <row r="55" spans="1:17" ht="24.75" customHeight="1" x14ac:dyDescent="0.2">
      <c r="A55" s="22" t="s">
        <v>36</v>
      </c>
      <c r="B55" s="26">
        <f>1469460549.55</f>
        <v>1469460549.55</v>
      </c>
      <c r="C55" s="26">
        <f>1469090722.65</f>
        <v>1469090722.6500001</v>
      </c>
      <c r="D55" s="26">
        <f>8810088.04</f>
        <v>8810088.0399999991</v>
      </c>
      <c r="E55" s="26">
        <f>2158827.69</f>
        <v>2158827.69</v>
      </c>
      <c r="F55" s="26">
        <f>57126.86</f>
        <v>57126.86</v>
      </c>
      <c r="G55" s="26">
        <f>6415467.87</f>
        <v>6415467.8700000001</v>
      </c>
      <c r="H55" s="26">
        <f>178665.62</f>
        <v>178665.62</v>
      </c>
      <c r="I55" s="26">
        <f>0</f>
        <v>0</v>
      </c>
      <c r="J55" s="26">
        <f>1998234.47</f>
        <v>1998234.47</v>
      </c>
      <c r="K55" s="26">
        <f>494517.88</f>
        <v>494517.88</v>
      </c>
      <c r="L55" s="26">
        <f>319974569.65</f>
        <v>319974569.64999998</v>
      </c>
      <c r="M55" s="26">
        <f>1108568255.27</f>
        <v>1108568255.27</v>
      </c>
      <c r="N55" s="26">
        <f>29245057.34</f>
        <v>29245057.34</v>
      </c>
      <c r="O55" s="15">
        <f>369826.9</f>
        <v>369826.9</v>
      </c>
      <c r="P55" s="15">
        <f>200025.84</f>
        <v>200025.84</v>
      </c>
      <c r="Q55" s="15">
        <f>169801.06</f>
        <v>169801.06</v>
      </c>
    </row>
    <row r="56" spans="1:17" ht="24.75" customHeight="1" x14ac:dyDescent="0.2">
      <c r="A56" s="23" t="s">
        <v>37</v>
      </c>
      <c r="B56" s="26">
        <f>8920407869.63</f>
        <v>8920407869.6299992</v>
      </c>
      <c r="C56" s="26">
        <f>8889364406.52</f>
        <v>8889364406.5200005</v>
      </c>
      <c r="D56" s="26">
        <f>86530555.93</f>
        <v>86530555.930000007</v>
      </c>
      <c r="E56" s="26">
        <f>51452050.82</f>
        <v>51452050.82</v>
      </c>
      <c r="F56" s="26">
        <f>735133.17</f>
        <v>735133.17</v>
      </c>
      <c r="G56" s="26">
        <f>34134257.65</f>
        <v>34134257.649999999</v>
      </c>
      <c r="H56" s="26">
        <f>209114.29</f>
        <v>209114.29</v>
      </c>
      <c r="I56" s="26">
        <f>0</f>
        <v>0</v>
      </c>
      <c r="J56" s="26">
        <f>8321696.06</f>
        <v>8321696.0599999996</v>
      </c>
      <c r="K56" s="26">
        <f>6998069.06</f>
        <v>6998069.0599999996</v>
      </c>
      <c r="L56" s="26">
        <f>1958954460.17</f>
        <v>1958954460.1700001</v>
      </c>
      <c r="M56" s="26">
        <f>6773365251.37</f>
        <v>6773365251.3699999</v>
      </c>
      <c r="N56" s="26">
        <f>55194373.93</f>
        <v>55194373.93</v>
      </c>
      <c r="O56" s="15">
        <f>31043463.11</f>
        <v>31043463.109999999</v>
      </c>
      <c r="P56" s="15">
        <f>19697598.88</f>
        <v>19697598.879999999</v>
      </c>
      <c r="Q56" s="15">
        <f>11345864.23</f>
        <v>11345864.23</v>
      </c>
    </row>
    <row r="57" spans="1:17" ht="24.75" customHeight="1" x14ac:dyDescent="0.2">
      <c r="A57" s="34" t="s">
        <v>45</v>
      </c>
      <c r="B57" s="35">
        <f>17113284201.77</f>
        <v>17113284201.77</v>
      </c>
      <c r="C57" s="35">
        <f>17108381315.13</f>
        <v>17108381315.129999</v>
      </c>
      <c r="D57" s="35">
        <f>841628276.56</f>
        <v>841628276.55999994</v>
      </c>
      <c r="E57" s="35">
        <f>467210031.35</f>
        <v>467210031.35000002</v>
      </c>
      <c r="F57" s="35">
        <f>53092586.55</f>
        <v>53092586.549999997</v>
      </c>
      <c r="G57" s="35">
        <f>314525612.79</f>
        <v>314525612.79000002</v>
      </c>
      <c r="H57" s="35">
        <f>6800045.87</f>
        <v>6800045.8700000001</v>
      </c>
      <c r="I57" s="35">
        <f>253857</f>
        <v>253857</v>
      </c>
      <c r="J57" s="35">
        <f>14995616.98</f>
        <v>14995616.98</v>
      </c>
      <c r="K57" s="35">
        <f>27577217.04</f>
        <v>27577217.039999999</v>
      </c>
      <c r="L57" s="35">
        <f>9175765425.76</f>
        <v>9175765425.7600002</v>
      </c>
      <c r="M57" s="35">
        <f>6867130440.4</f>
        <v>6867130440.3999996</v>
      </c>
      <c r="N57" s="35">
        <f>181030481.39</f>
        <v>181030481.38999999</v>
      </c>
      <c r="O57" s="35">
        <f>4902886.64</f>
        <v>4902886.6399999997</v>
      </c>
      <c r="P57" s="35">
        <f>2527923.77</f>
        <v>2527923.77</v>
      </c>
      <c r="Q57" s="35">
        <f>2374962.87</f>
        <v>2374962.87</v>
      </c>
    </row>
    <row r="58" spans="1:17" ht="30" customHeight="1" x14ac:dyDescent="0.2">
      <c r="A58" s="22" t="s">
        <v>38</v>
      </c>
      <c r="B58" s="26">
        <f>954964321.58</f>
        <v>954964321.58000004</v>
      </c>
      <c r="C58" s="26">
        <f>954498132.27</f>
        <v>954498132.26999998</v>
      </c>
      <c r="D58" s="26">
        <f>57361643.91</f>
        <v>57361643.909999996</v>
      </c>
      <c r="E58" s="26">
        <f>4697316.09</f>
        <v>4697316.09</v>
      </c>
      <c r="F58" s="26">
        <f>1535014.14</f>
        <v>1535014.14</v>
      </c>
      <c r="G58" s="26">
        <f>49929465.2</f>
        <v>49929465.200000003</v>
      </c>
      <c r="H58" s="26">
        <f>1199848.48</f>
        <v>1199848.48</v>
      </c>
      <c r="I58" s="26">
        <f>0</f>
        <v>0</v>
      </c>
      <c r="J58" s="26">
        <f>594736.01</f>
        <v>594736.01</v>
      </c>
      <c r="K58" s="26">
        <f>1955367.51</f>
        <v>1955367.51</v>
      </c>
      <c r="L58" s="26">
        <f>360257480.59</f>
        <v>360257480.58999997</v>
      </c>
      <c r="M58" s="26">
        <f>520369278.14</f>
        <v>520369278.13999999</v>
      </c>
      <c r="N58" s="26">
        <f>13959626.11</f>
        <v>13959626.109999999</v>
      </c>
      <c r="O58" s="15">
        <f>466189.31</f>
        <v>466189.31</v>
      </c>
      <c r="P58" s="15">
        <f>197183.61</f>
        <v>197183.61</v>
      </c>
      <c r="Q58" s="15">
        <f>269005.7</f>
        <v>269005.7</v>
      </c>
    </row>
    <row r="59" spans="1:17" ht="36" x14ac:dyDescent="0.2">
      <c r="A59" s="22" t="s">
        <v>39</v>
      </c>
      <c r="B59" s="26">
        <f>10757457612.46</f>
        <v>10757457612.459999</v>
      </c>
      <c r="C59" s="26">
        <f>10753955469.33</f>
        <v>10753955469.33</v>
      </c>
      <c r="D59" s="26">
        <f>376924569.64</f>
        <v>376924569.63999999</v>
      </c>
      <c r="E59" s="26">
        <f>224763850.25</f>
        <v>224763850.25</v>
      </c>
      <c r="F59" s="26">
        <f>36264341.41</f>
        <v>36264341.409999996</v>
      </c>
      <c r="G59" s="26">
        <f>113044293.89</f>
        <v>113044293.89</v>
      </c>
      <c r="H59" s="26">
        <f>2852084.09</f>
        <v>2852084.09</v>
      </c>
      <c r="I59" s="26">
        <f>253857</f>
        <v>253857</v>
      </c>
      <c r="J59" s="26">
        <f>11068316.92</f>
        <v>11068316.92</v>
      </c>
      <c r="K59" s="26">
        <f>12433912.94</f>
        <v>12433912.939999999</v>
      </c>
      <c r="L59" s="26">
        <f>6817254955.67</f>
        <v>6817254955.6700001</v>
      </c>
      <c r="M59" s="26">
        <f>3481248216.96</f>
        <v>3481248216.96</v>
      </c>
      <c r="N59" s="26">
        <f>54771640.2</f>
        <v>54771640.200000003</v>
      </c>
      <c r="O59" s="15">
        <f>3502143.13</f>
        <v>3502143.13</v>
      </c>
      <c r="P59" s="15">
        <f>2245670.7</f>
        <v>2245670.7000000002</v>
      </c>
      <c r="Q59" s="15">
        <f>1256472.43</f>
        <v>1256472.43</v>
      </c>
    </row>
    <row r="60" spans="1:17" ht="30.75" customHeight="1" x14ac:dyDescent="0.2">
      <c r="A60" s="22" t="s">
        <v>40</v>
      </c>
      <c r="B60" s="26">
        <f>5400862267.73</f>
        <v>5400862267.7299995</v>
      </c>
      <c r="C60" s="26">
        <f>5399927713.53</f>
        <v>5399927713.5299997</v>
      </c>
      <c r="D60" s="26">
        <f>407342063.01</f>
        <v>407342063.00999999</v>
      </c>
      <c r="E60" s="26">
        <f>237748865.01</f>
        <v>237748865.00999999</v>
      </c>
      <c r="F60" s="26">
        <f>15293231</f>
        <v>15293231</v>
      </c>
      <c r="G60" s="26">
        <f>151551853.7</f>
        <v>151551853.69999999</v>
      </c>
      <c r="H60" s="26">
        <f>2748113.3</f>
        <v>2748113.3</v>
      </c>
      <c r="I60" s="26">
        <f>0</f>
        <v>0</v>
      </c>
      <c r="J60" s="26">
        <f>3332564.05</f>
        <v>3332564.05</v>
      </c>
      <c r="K60" s="26">
        <f>13187936.59</f>
        <v>13187936.59</v>
      </c>
      <c r="L60" s="26">
        <f>1998252989.5</f>
        <v>1998252989.5</v>
      </c>
      <c r="M60" s="26">
        <f>2865512945.3</f>
        <v>2865512945.3000002</v>
      </c>
      <c r="N60" s="26">
        <f>112299215.08</f>
        <v>112299215.08</v>
      </c>
      <c r="O60" s="15">
        <f>934554.2</f>
        <v>934554.2</v>
      </c>
      <c r="P60" s="15">
        <f>85069.46</f>
        <v>85069.46</v>
      </c>
      <c r="Q60" s="15">
        <f>849484.74</f>
        <v>849484.74</v>
      </c>
    </row>
    <row r="77" spans="1:13" ht="75" customHeight="1" x14ac:dyDescent="0.2">
      <c r="A77" s="51" t="str">
        <f>CONCATENATE("Informacja z wykonania budżetów gmin za ",$C$104," ",$B$105," roku   ",$B$107,"")</f>
        <v xml:space="preserve">Informacja z wykonania budżetów gmin za II Kwartały 2024 roku   </v>
      </c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</row>
    <row r="78" spans="1:13" ht="13.5" customHeight="1" x14ac:dyDescent="0.2">
      <c r="B78" s="55" t="s">
        <v>2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</row>
    <row r="80" spans="1:13" ht="13.5" customHeight="1" x14ac:dyDescent="0.2">
      <c r="B80" s="80" t="s">
        <v>0</v>
      </c>
      <c r="C80" s="81"/>
      <c r="D80" s="81"/>
      <c r="E80" s="82"/>
      <c r="F80" s="90" t="s">
        <v>72</v>
      </c>
      <c r="G80" s="62" t="s">
        <v>78</v>
      </c>
      <c r="H80" s="63"/>
      <c r="I80" s="63"/>
      <c r="J80" s="63"/>
      <c r="K80" s="63"/>
      <c r="L80" s="64"/>
    </row>
    <row r="81" spans="1:13" ht="13.5" customHeight="1" x14ac:dyDescent="0.2">
      <c r="B81" s="83"/>
      <c r="C81" s="84"/>
      <c r="D81" s="84"/>
      <c r="E81" s="85"/>
      <c r="F81" s="91"/>
      <c r="G81" s="93" t="s">
        <v>73</v>
      </c>
      <c r="H81" s="46" t="s">
        <v>70</v>
      </c>
      <c r="I81" s="46" t="s">
        <v>71</v>
      </c>
      <c r="J81" s="46" t="s">
        <v>74</v>
      </c>
      <c r="K81" s="46" t="s">
        <v>75</v>
      </c>
      <c r="L81" s="94" t="s">
        <v>76</v>
      </c>
    </row>
    <row r="82" spans="1:13" ht="13.5" customHeight="1" x14ac:dyDescent="0.2">
      <c r="B82" s="83"/>
      <c r="C82" s="84"/>
      <c r="D82" s="84"/>
      <c r="E82" s="85"/>
      <c r="F82" s="91"/>
      <c r="G82" s="93"/>
      <c r="H82" s="46"/>
      <c r="I82" s="46"/>
      <c r="J82" s="46"/>
      <c r="K82" s="46"/>
      <c r="L82" s="94"/>
    </row>
    <row r="83" spans="1:13" ht="11.25" customHeight="1" x14ac:dyDescent="0.2">
      <c r="B83" s="83"/>
      <c r="C83" s="84"/>
      <c r="D83" s="84"/>
      <c r="E83" s="85"/>
      <c r="F83" s="91"/>
      <c r="G83" s="93"/>
      <c r="H83" s="46"/>
      <c r="I83" s="46"/>
      <c r="J83" s="46"/>
      <c r="K83" s="46"/>
      <c r="L83" s="94"/>
    </row>
    <row r="84" spans="1:13" ht="11.25" customHeight="1" x14ac:dyDescent="0.2">
      <c r="B84" s="86"/>
      <c r="C84" s="87"/>
      <c r="D84" s="87"/>
      <c r="E84" s="88"/>
      <c r="F84" s="92"/>
      <c r="G84" s="93"/>
      <c r="H84" s="46"/>
      <c r="I84" s="46"/>
      <c r="J84" s="46"/>
      <c r="K84" s="46"/>
      <c r="L84" s="94"/>
    </row>
    <row r="85" spans="1:13" ht="11.25" customHeight="1" x14ac:dyDescent="0.2">
      <c r="B85" s="46">
        <v>1</v>
      </c>
      <c r="C85" s="46"/>
      <c r="D85" s="46"/>
      <c r="E85" s="46"/>
      <c r="F85" s="3">
        <v>2</v>
      </c>
      <c r="G85" s="3">
        <v>3</v>
      </c>
      <c r="H85" s="3">
        <v>4</v>
      </c>
      <c r="I85" s="3">
        <v>5</v>
      </c>
      <c r="J85" s="3">
        <v>6</v>
      </c>
      <c r="K85" s="3">
        <v>7</v>
      </c>
      <c r="L85" s="13">
        <v>8</v>
      </c>
    </row>
    <row r="86" spans="1:13" ht="13.5" customHeight="1" x14ac:dyDescent="0.2">
      <c r="B86" s="46"/>
      <c r="C86" s="46"/>
      <c r="D86" s="46"/>
      <c r="E86" s="46"/>
      <c r="F86" s="62" t="s">
        <v>80</v>
      </c>
      <c r="G86" s="38"/>
      <c r="H86" s="38"/>
      <c r="I86" s="38"/>
      <c r="J86" s="38"/>
      <c r="K86" s="38"/>
      <c r="L86" s="39"/>
    </row>
    <row r="87" spans="1:13" ht="33.75" customHeight="1" x14ac:dyDescent="0.2">
      <c r="B87" s="73" t="s">
        <v>57</v>
      </c>
      <c r="C87" s="74"/>
      <c r="D87" s="74"/>
      <c r="E87" s="75"/>
      <c r="F87" s="33">
        <f>1137114883.53</f>
        <v>1137114883.53</v>
      </c>
      <c r="G87" s="33">
        <f>435521206.44</f>
        <v>435521206.44</v>
      </c>
      <c r="H87" s="33">
        <f>19218679.87</f>
        <v>19218679.870000001</v>
      </c>
      <c r="I87" s="33">
        <f>148265274.64</f>
        <v>148265274.63999999</v>
      </c>
      <c r="J87" s="33">
        <f>227438339.5</f>
        <v>227438339.5</v>
      </c>
      <c r="K87" s="33">
        <f>40598912.43</f>
        <v>40598912.43</v>
      </c>
      <c r="L87" s="33">
        <f>701593677.09</f>
        <v>701593677.09000003</v>
      </c>
    </row>
    <row r="88" spans="1:13" ht="33.75" customHeight="1" x14ac:dyDescent="0.2">
      <c r="B88" s="73" t="s">
        <v>58</v>
      </c>
      <c r="C88" s="74"/>
      <c r="D88" s="74"/>
      <c r="E88" s="75"/>
      <c r="F88" s="33">
        <f>1959677.07</f>
        <v>1959677.07</v>
      </c>
      <c r="G88" s="33">
        <f>1959677.07</f>
        <v>1959677.07</v>
      </c>
      <c r="H88" s="33">
        <f>0</f>
        <v>0</v>
      </c>
      <c r="I88" s="33">
        <f>558268.07</f>
        <v>558268.06999999995</v>
      </c>
      <c r="J88" s="33">
        <f>1401409</f>
        <v>1401409</v>
      </c>
      <c r="K88" s="33">
        <f>0</f>
        <v>0</v>
      </c>
      <c r="L88" s="33">
        <f>0</f>
        <v>0</v>
      </c>
    </row>
    <row r="89" spans="1:13" ht="33.75" customHeight="1" x14ac:dyDescent="0.2">
      <c r="B89" s="73" t="s">
        <v>59</v>
      </c>
      <c r="C89" s="74"/>
      <c r="D89" s="74"/>
      <c r="E89" s="75"/>
      <c r="F89" s="33">
        <f>127083082.88</f>
        <v>127083082.88</v>
      </c>
      <c r="G89" s="33">
        <f>1682598.92</f>
        <v>1682598.92</v>
      </c>
      <c r="H89" s="33">
        <f>47200</f>
        <v>47200</v>
      </c>
      <c r="I89" s="33">
        <f>0</f>
        <v>0</v>
      </c>
      <c r="J89" s="33">
        <f>1525812.88</f>
        <v>1525812.88</v>
      </c>
      <c r="K89" s="33">
        <f>109586.04</f>
        <v>109586.04</v>
      </c>
      <c r="L89" s="33">
        <f>125400483.96</f>
        <v>125400483.95999999</v>
      </c>
    </row>
    <row r="90" spans="1:13" ht="22.5" customHeight="1" x14ac:dyDescent="0.2">
      <c r="B90" s="73" t="s">
        <v>60</v>
      </c>
      <c r="C90" s="74"/>
      <c r="D90" s="74"/>
      <c r="E90" s="75"/>
      <c r="F90" s="33">
        <f>6756140.84</f>
        <v>6756140.8399999999</v>
      </c>
      <c r="G90" s="33">
        <f>21673</f>
        <v>21673</v>
      </c>
      <c r="H90" s="33">
        <f>0</f>
        <v>0</v>
      </c>
      <c r="I90" s="33">
        <f>0</f>
        <v>0</v>
      </c>
      <c r="J90" s="33">
        <f>21673</f>
        <v>21673</v>
      </c>
      <c r="K90" s="33">
        <f>0</f>
        <v>0</v>
      </c>
      <c r="L90" s="33">
        <f>6734467.84</f>
        <v>6734467.8399999999</v>
      </c>
    </row>
    <row r="91" spans="1:13" ht="33.75" customHeight="1" x14ac:dyDescent="0.2">
      <c r="B91" s="73" t="s">
        <v>61</v>
      </c>
      <c r="C91" s="74"/>
      <c r="D91" s="74"/>
      <c r="E91" s="75"/>
      <c r="F91" s="33">
        <f>12807228.63</f>
        <v>12807228.630000001</v>
      </c>
      <c r="G91" s="33">
        <f>6390769.7</f>
        <v>6390769.7000000002</v>
      </c>
      <c r="H91" s="33">
        <f>0</f>
        <v>0</v>
      </c>
      <c r="I91" s="33">
        <f>0</f>
        <v>0</v>
      </c>
      <c r="J91" s="33">
        <f>0</f>
        <v>0</v>
      </c>
      <c r="K91" s="33">
        <f>6390769.7</f>
        <v>6390769.7000000002</v>
      </c>
      <c r="L91" s="33">
        <f>6416458.93</f>
        <v>6416458.9299999997</v>
      </c>
    </row>
    <row r="92" spans="1:13" ht="33.75" customHeight="1" x14ac:dyDescent="0.2">
      <c r="B92" s="73" t="s">
        <v>62</v>
      </c>
      <c r="C92" s="74"/>
      <c r="D92" s="74"/>
      <c r="E92" s="75"/>
      <c r="F92" s="33">
        <f>597116.28</f>
        <v>597116.28</v>
      </c>
      <c r="G92" s="33">
        <f>0</f>
        <v>0</v>
      </c>
      <c r="H92" s="33">
        <f>0</f>
        <v>0</v>
      </c>
      <c r="I92" s="33">
        <f>0</f>
        <v>0</v>
      </c>
      <c r="J92" s="33">
        <f>0</f>
        <v>0</v>
      </c>
      <c r="K92" s="33">
        <f>0</f>
        <v>0</v>
      </c>
      <c r="L92" s="33">
        <f>597116.28</f>
        <v>597116.28</v>
      </c>
    </row>
    <row r="93" spans="1:13" ht="22.5" customHeight="1" x14ac:dyDescent="0.2">
      <c r="B93" s="73" t="s">
        <v>63</v>
      </c>
      <c r="C93" s="74"/>
      <c r="D93" s="74"/>
      <c r="E93" s="75"/>
      <c r="F93" s="33">
        <f>60000</f>
        <v>60000</v>
      </c>
      <c r="G93" s="33">
        <f>0</f>
        <v>0</v>
      </c>
      <c r="H93" s="33">
        <f>0</f>
        <v>0</v>
      </c>
      <c r="I93" s="33">
        <f>0</f>
        <v>0</v>
      </c>
      <c r="J93" s="33">
        <f>0</f>
        <v>0</v>
      </c>
      <c r="K93" s="33">
        <f>0</f>
        <v>0</v>
      </c>
      <c r="L93" s="33">
        <f>60000</f>
        <v>60000</v>
      </c>
    </row>
    <row r="96" spans="1:13" ht="75" customHeight="1" x14ac:dyDescent="0.2">
      <c r="A96" s="51" t="str">
        <f>CONCATENATE("Informacja z wykonania budżetów gmin za ",$C$104," ",$B$105," roku   ",$B$107,"")</f>
        <v xml:space="preserve">Informacja z wykonania budżetów gmin za II Kwartały 2024 roku   </v>
      </c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</row>
    <row r="97" spans="1:11" ht="13.5" customHeight="1" x14ac:dyDescent="0.2">
      <c r="B97" s="4"/>
    </row>
    <row r="98" spans="1:11" ht="13.5" customHeight="1" x14ac:dyDescent="0.2">
      <c r="B98" s="5"/>
      <c r="C98" s="62"/>
      <c r="D98" s="63"/>
      <c r="E98" s="63"/>
      <c r="F98" s="64"/>
      <c r="G98" s="62" t="s">
        <v>3</v>
      </c>
      <c r="H98" s="64"/>
      <c r="I98" s="62" t="s">
        <v>4</v>
      </c>
      <c r="J98" s="64"/>
      <c r="K98" s="5"/>
    </row>
    <row r="99" spans="1:11" ht="13.5" customHeight="1" x14ac:dyDescent="0.2">
      <c r="B99" s="6"/>
      <c r="C99" s="70" t="s">
        <v>5</v>
      </c>
      <c r="D99" s="71"/>
      <c r="E99" s="71"/>
      <c r="F99" s="72"/>
      <c r="G99" s="66">
        <f>1792</f>
        <v>1792</v>
      </c>
      <c r="H99" s="67"/>
      <c r="I99" s="68">
        <f>8081248504.88</f>
        <v>8081248504.8800001</v>
      </c>
      <c r="J99" s="69"/>
      <c r="K99" s="7"/>
    </row>
    <row r="100" spans="1:11" ht="13.5" customHeight="1" x14ac:dyDescent="0.2">
      <c r="B100" s="6"/>
      <c r="C100" s="73" t="s">
        <v>6</v>
      </c>
      <c r="D100" s="74"/>
      <c r="E100" s="74"/>
      <c r="F100" s="75"/>
      <c r="G100" s="76">
        <f>619</f>
        <v>619</v>
      </c>
      <c r="H100" s="77"/>
      <c r="I100" s="78">
        <f>-1514301711.01</f>
        <v>-1514301711.01</v>
      </c>
      <c r="J100" s="79"/>
      <c r="K100" s="7"/>
    </row>
    <row r="101" spans="1:11" ht="13.5" customHeight="1" x14ac:dyDescent="0.2">
      <c r="B101" s="6"/>
      <c r="C101" s="70" t="s">
        <v>7</v>
      </c>
      <c r="D101" s="71"/>
      <c r="E101" s="71"/>
      <c r="F101" s="72"/>
      <c r="G101" s="66">
        <f>0</f>
        <v>0</v>
      </c>
      <c r="H101" s="67"/>
      <c r="I101" s="68">
        <f>0</f>
        <v>0</v>
      </c>
      <c r="J101" s="69"/>
      <c r="K101" s="7"/>
    </row>
    <row r="104" spans="1:11" ht="13.5" customHeight="1" x14ac:dyDescent="0.2">
      <c r="A104" s="8" t="s">
        <v>8</v>
      </c>
      <c r="B104" s="8">
        <f>2</f>
        <v>2</v>
      </c>
      <c r="C104" s="8" t="str">
        <f>IF(B104=1,"I Kwartał",IF(B104=2,"II Kwartały",IF(B104=3,"III Kwartały",IF(B104=4,"IV Kwartały","-"))))</f>
        <v>II Kwartały</v>
      </c>
    </row>
    <row r="105" spans="1:11" ht="13.5" customHeight="1" x14ac:dyDescent="0.2">
      <c r="A105" s="8" t="s">
        <v>9</v>
      </c>
      <c r="B105" s="8">
        <f>2024</f>
        <v>2024</v>
      </c>
      <c r="C105" s="9"/>
    </row>
    <row r="106" spans="1:11" ht="13.5" customHeight="1" x14ac:dyDescent="0.2">
      <c r="A106" s="8" t="s">
        <v>10</v>
      </c>
      <c r="B106" s="10" t="str">
        <f>"Aug 14 2024 12:00AM"</f>
        <v>Aug 14 2024 12:00AM</v>
      </c>
      <c r="C106" s="9"/>
    </row>
    <row r="107" spans="1:11" ht="13.5" customHeight="1" x14ac:dyDescent="0.2">
      <c r="A107" s="16" t="s">
        <v>79</v>
      </c>
      <c r="B107" s="10" t="str">
        <f>""</f>
        <v/>
      </c>
    </row>
  </sheetData>
  <mergeCells count="79">
    <mergeCell ref="B43:Q43"/>
    <mergeCell ref="B85:E85"/>
    <mergeCell ref="F86:L86"/>
    <mergeCell ref="L81:L84"/>
    <mergeCell ref="O6:Q6"/>
    <mergeCell ref="O7:O10"/>
    <mergeCell ref="A77:M77"/>
    <mergeCell ref="L39:L41"/>
    <mergeCell ref="P39:P41"/>
    <mergeCell ref="Q39:Q41"/>
    <mergeCell ref="N39:N41"/>
    <mergeCell ref="O39:O41"/>
    <mergeCell ref="D39:D41"/>
    <mergeCell ref="H7:H10"/>
    <mergeCell ref="B92:E92"/>
    <mergeCell ref="B88:E88"/>
    <mergeCell ref="M39:M41"/>
    <mergeCell ref="B87:E87"/>
    <mergeCell ref="F80:F84"/>
    <mergeCell ref="G81:G84"/>
    <mergeCell ref="I99:J99"/>
    <mergeCell ref="B78:M78"/>
    <mergeCell ref="I98:J98"/>
    <mergeCell ref="B86:E86"/>
    <mergeCell ref="B80:E84"/>
    <mergeCell ref="B93:E93"/>
    <mergeCell ref="A96:M96"/>
    <mergeCell ref="B89:E89"/>
    <mergeCell ref="B90:E90"/>
    <mergeCell ref="B91:E91"/>
    <mergeCell ref="G101:H101"/>
    <mergeCell ref="I101:J101"/>
    <mergeCell ref="C98:F98"/>
    <mergeCell ref="C99:F99"/>
    <mergeCell ref="C100:F100"/>
    <mergeCell ref="C101:F101"/>
    <mergeCell ref="G99:H99"/>
    <mergeCell ref="G98:H98"/>
    <mergeCell ref="G100:H100"/>
    <mergeCell ref="I100:J100"/>
    <mergeCell ref="G80:L80"/>
    <mergeCell ref="H81:H84"/>
    <mergeCell ref="I81:I84"/>
    <mergeCell ref="J81:J84"/>
    <mergeCell ref="A1:M1"/>
    <mergeCell ref="C5:M5"/>
    <mergeCell ref="A3:M3"/>
    <mergeCell ref="K7:K10"/>
    <mergeCell ref="C7:C10"/>
    <mergeCell ref="B38:B41"/>
    <mergeCell ref="B6:B10"/>
    <mergeCell ref="A6:A10"/>
    <mergeCell ref="C6:N6"/>
    <mergeCell ref="D7:D10"/>
    <mergeCell ref="E7:E10"/>
    <mergeCell ref="G7:G10"/>
    <mergeCell ref="F7:F10"/>
    <mergeCell ref="I7:I10"/>
    <mergeCell ref="J7:J10"/>
    <mergeCell ref="J39:J41"/>
    <mergeCell ref="Q7:Q10"/>
    <mergeCell ref="C38:N38"/>
    <mergeCell ref="L7:L10"/>
    <mergeCell ref="M7:M10"/>
    <mergeCell ref="N7:N10"/>
    <mergeCell ref="P7:P10"/>
    <mergeCell ref="A34:M34"/>
    <mergeCell ref="O38:Q38"/>
    <mergeCell ref="A36:M36"/>
    <mergeCell ref="B12:Q12"/>
    <mergeCell ref="A38:A41"/>
    <mergeCell ref="C39:C41"/>
    <mergeCell ref="E39:E41"/>
    <mergeCell ref="K81:K84"/>
    <mergeCell ref="F39:F41"/>
    <mergeCell ref="G39:G41"/>
    <mergeCell ref="H39:H41"/>
    <mergeCell ref="K39:K41"/>
    <mergeCell ref="I39:I41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33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2016-08-26T11:23:29Z</cp:lastPrinted>
  <dcterms:created xsi:type="dcterms:W3CDTF">2001-05-17T08:58:03Z</dcterms:created>
  <dcterms:modified xsi:type="dcterms:W3CDTF">2024-08-26T09:37:52Z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2024-08-26T11:37:31.7967658+02:00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GRN-2979a630-5286-46bb-960a-6014ce629fcf</vt:lpwstr>
  </property>
  <property fmtid="{D5CDD505-2E9C-101B-9397-08002B2CF9AE}" pid="7" name="MFHash">
    <vt:lpwstr>U4uXkixRh55Mnqda+/KZwRtux2eTGVYw3oxL+wRnyGI=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