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zob_nal" sheetId="7" r:id="rId1"/>
    <sheet name="definicja" sheetId="6" r:id="rId2"/>
  </sheets>
  <calcPr calcId="152511"/>
</workbook>
</file>

<file path=xl/calcChain.xml><?xml version="1.0" encoding="utf-8"?>
<calcChain xmlns="http://schemas.openxmlformats.org/spreadsheetml/2006/main">
  <c r="C106" i="6" l="1"/>
  <c r="C105" i="6"/>
  <c r="C104" i="6"/>
  <c r="B96" i="7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1" i="7" s="1"/>
  <c r="D104" i="6"/>
  <c r="A65" i="6" s="1"/>
  <c r="A32" i="6" l="1"/>
  <c r="A1" i="6"/>
  <c r="A94" i="6"/>
  <c r="A66" i="7"/>
  <c r="A85" i="7"/>
  <c r="A30" i="7"/>
</calcChain>
</file>

<file path=xl/sharedStrings.xml><?xml version="1.0" encoding="utf-8"?>
<sst xmlns="http://schemas.openxmlformats.org/spreadsheetml/2006/main" count="271" uniqueCount="152">
  <si>
    <t>Wyszczególnienie</t>
  </si>
  <si>
    <t>ZO</t>
  </si>
  <si>
    <t>ogółem</t>
  </si>
  <si>
    <t>sektora finansów publicznych (kol.5+7+8)</t>
  </si>
  <si>
    <t>banku centralnego</t>
  </si>
  <si>
    <t>Poręczenia i gwarancje</t>
  </si>
  <si>
    <t>sektora finansów publicznych (kol.4+6+7)</t>
  </si>
  <si>
    <t>Liczba jednostek</t>
  </si>
  <si>
    <t>Wykonanie</t>
  </si>
  <si>
    <t>KO</t>
  </si>
  <si>
    <t>KFP</t>
  </si>
  <si>
    <t>KG1</t>
  </si>
  <si>
    <t>KG2</t>
  </si>
  <si>
    <t>KG3</t>
  </si>
  <si>
    <t>KBC</t>
  </si>
  <si>
    <t>KBK</t>
  </si>
  <si>
    <t>FP</t>
  </si>
  <si>
    <t>G1</t>
  </si>
  <si>
    <t>G2</t>
  </si>
  <si>
    <t>G3</t>
  </si>
  <si>
    <t>O</t>
  </si>
  <si>
    <t>Z</t>
  </si>
  <si>
    <t>N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</si>
  <si>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</si>
  <si>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</si>
  <si>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</si>
  <si>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</si>
  <si>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</si>
  <si>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</si>
  <si>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[w]&gt;0</t>
  </si>
  <si>
    <t>[w]&lt;0</t>
  </si>
  <si>
    <t>[w]=0</t>
  </si>
  <si>
    <t>w</t>
  </si>
  <si>
    <t>kodGus</t>
  </si>
  <si>
    <t>Symbol=E</t>
  </si>
  <si>
    <t>Symbol=E1</t>
  </si>
  <si>
    <t>Symbol=E11</t>
  </si>
  <si>
    <t>Symbol=E2</t>
  </si>
  <si>
    <t>Symbol=E21</t>
  </si>
  <si>
    <t>Symbol=E3</t>
  </si>
  <si>
    <t>Symbol=E4</t>
  </si>
  <si>
    <t>Symbol=E41</t>
  </si>
  <si>
    <t>Symbol=N</t>
  </si>
  <si>
    <t>Symbol=N1</t>
  </si>
  <si>
    <t>Symbol=N11</t>
  </si>
  <si>
    <t>Symbol=N21</t>
  </si>
  <si>
    <t>Symbol=N3</t>
  </si>
  <si>
    <t>Symbol=N4</t>
  </si>
  <si>
    <t>Symbol=N41</t>
  </si>
  <si>
    <t>Symbol=F1</t>
  </si>
  <si>
    <t>Symbol=F2</t>
  </si>
  <si>
    <t>Symbol=F3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</si>
  <si>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</si>
  <si>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</si>
  <si>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</si>
  <si>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</si>
  <si>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5+6+7+8))</t>
  </si>
  <si>
    <t>sektor 
finansów 
publicznych 
ogółem 
(kol 5+6+7+8)</t>
  </si>
  <si>
    <t>KG4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</si>
  <si>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</si>
  <si>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</si>
  <si>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</si>
  <si>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</si>
  <si>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</si>
  <si>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</si>
  <si>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</si>
  <si>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</si>
  <si>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KIF</t>
  </si>
  <si>
    <t>KPN</t>
  </si>
  <si>
    <t>KGD</t>
  </si>
  <si>
    <t>KIN</t>
  </si>
  <si>
    <t>ZSE</t>
  </si>
  <si>
    <t>ZPZ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</si>
  <si>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</si>
  <si>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</si>
  <si>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</si>
  <si>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</si>
  <si>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</si>
  <si>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bank centralny</t>
  </si>
  <si>
    <t>N. NALEŻNOŚCI ORAZ WYBRANE AKTYWA FINANSOWE  (N1+N2+N3+N4+N5)   z tego: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</si>
  <si>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</si>
  <si>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</si>
  <si>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</si>
  <si>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</si>
  <si>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</si>
  <si>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</si>
  <si>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</si>
  <si>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</si>
  <si>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</si>
  <si>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</si>
  <si>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</si>
  <si>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</si>
  <si>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</si>
  <si>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</si>
  <si>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</si>
  <si>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</si>
  <si>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</si>
  <si>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Symbol=N12</t>
  </si>
  <si>
    <t>Symbol=N22</t>
  </si>
  <si>
    <t>Symbol=N31</t>
  </si>
  <si>
    <t>Symbol=N32</t>
  </si>
  <si>
    <t>Symbol=N33</t>
  </si>
  <si>
    <t>Symbol=N42</t>
  </si>
  <si>
    <t>Symbol=N5</t>
  </si>
  <si>
    <t>Symbol=N51</t>
  </si>
  <si>
    <t>Symbol=N52</t>
  </si>
  <si>
    <t>Symbol=N53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</si>
  <si>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</si>
  <si>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</si>
  <si>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</si>
  <si>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</si>
  <si>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</si>
  <si>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</si>
  <si>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</si>
  <si>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</si>
  <si>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</si>
  <si>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</si>
  <si>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</si>
  <si>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Symbol=E12</t>
  </si>
  <si>
    <t>Symbol=E22</t>
  </si>
  <si>
    <t>Symbol=E42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</si>
  <si>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</si>
  <si>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</si>
  <si>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</si>
  <si>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</si>
  <si>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</si>
  <si>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</si>
  <si>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</si>
  <si>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Symbol=B1</t>
  </si>
  <si>
    <t>Symbol=B2</t>
  </si>
  <si>
    <t>Symbol=B3</t>
  </si>
  <si>
    <t>Symbol=B4</t>
  </si>
  <si>
    <t>G4</t>
  </si>
  <si>
    <t>PP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</si>
  <si>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</si>
  <si>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</si>
  <si>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</si>
  <si>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</si>
  <si>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</si>
  <si>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</si>
  <si>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</si>
  <si>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</si>
  <si>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</si>
  <si>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</si>
  <si>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</si>
  <si>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</si>
  <si>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</si>
  <si>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</si>
  <si>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Symbol=N2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</si>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</sst>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1" fillId="4" borderId="8" applyNumberFormat="0" applyFont="0" applyAlignment="0" applyProtection="0"/>
    <xf numFmtId="0" fontId="24" fillId="16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3">
    <xf numFmtId="0" fontId="0" fillId="0" borderId="0" xfId="0"/>
    <xf numFmtId="0" fontId="4" fillId="0" borderId="0" xfId="37" applyFont="1" applyAlignment="1">
      <alignment horizontal="center" vertical="center" wrapText="1"/>
    </xf>
    <xf numFmtId="0" fontId="5" fillId="0" borderId="0" xfId="37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5" fillId="0" borderId="0" xfId="37" applyFill="1" applyBorder="1" applyAlignment="1">
      <alignment horizontal="center" vertical="center" wrapText="1"/>
    </xf>
    <xf numFmtId="0" fontId="6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0" borderId="0" xfId="0" applyFont="1"/>
    <xf numFmtId="169" fontId="10" fillId="0" borderId="10" xfId="0" applyNumberFormat="1" applyFont="1" applyBorder="1"/>
    <xf numFmtId="0" fontId="6" fillId="19" borderId="16" xfId="37" applyFont="1" applyFill="1" applyBorder="1" applyAlignment="1">
      <alignment horizontal="center" vertical="center" wrapText="1"/>
    </xf>
    <xf numFmtId="0" fontId="6" fillId="19" borderId="17" xfId="37" applyFont="1" applyFill="1" applyBorder="1" applyAlignment="1">
      <alignment horizontal="center" vertical="center" wrapText="1"/>
    </xf>
    <xf numFmtId="0" fontId="5" fillId="19" borderId="18" xfId="37" applyFill="1" applyBorder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6" fillId="19" borderId="19" xfId="37" applyFont="1" applyFill="1" applyBorder="1" applyAlignment="1">
      <alignment horizontal="center" vertical="center" wrapText="1"/>
    </xf>
    <xf numFmtId="0" fontId="9" fillId="0" borderId="17" xfId="37" applyFont="1" applyBorder="1" applyAlignment="1">
      <alignment horizontal="left" vertical="center" wrapText="1"/>
    </xf>
    <xf numFmtId="0" fontId="28" fillId="0" borderId="20" xfId="0" applyFont="1" applyFill="1" applyBorder="1" applyAlignment="1">
      <alignment wrapText="1"/>
    </xf>
    <xf numFmtId="0" fontId="28" fillId="0" borderId="19" xfId="0" applyFont="1" applyFill="1" applyBorder="1" applyAlignment="1">
      <alignment horizontal="left" wrapText="1"/>
    </xf>
    <xf numFmtId="0" fontId="28" fillId="0" borderId="19" xfId="0" applyFont="1" applyFill="1" applyBorder="1" applyAlignment="1">
      <alignment wrapText="1"/>
    </xf>
    <xf numFmtId="0" fontId="28" fillId="0" borderId="21" xfId="0" applyFont="1" applyFill="1" applyBorder="1" applyAlignment="1">
      <alignment horizontal="left" wrapText="1"/>
    </xf>
    <xf numFmtId="0" fontId="30" fillId="0" borderId="22" xfId="0" applyFont="1" applyFill="1" applyBorder="1" applyAlignment="1">
      <alignment wrapText="1"/>
    </xf>
    <xf numFmtId="0" fontId="30" fillId="0" borderId="22" xfId="0" applyFont="1" applyFill="1" applyBorder="1" applyAlignment="1">
      <alignment horizontal="left" wrapText="1" indent="1"/>
    </xf>
    <xf numFmtId="0" fontId="30" fillId="0" borderId="23" xfId="0" applyFont="1" applyFill="1" applyBorder="1" applyAlignment="1">
      <alignment wrapText="1"/>
    </xf>
    <xf numFmtId="0" fontId="30" fillId="0" borderId="23" xfId="0" applyFont="1" applyFill="1" applyBorder="1" applyAlignment="1">
      <alignment horizontal="left" wrapText="1" indent="1"/>
    </xf>
    <xf numFmtId="0" fontId="30" fillId="0" borderId="22" xfId="0" applyFont="1" applyFill="1" applyBorder="1" applyAlignment="1">
      <alignment horizontal="left" indent="1"/>
    </xf>
    <xf numFmtId="0" fontId="30" fillId="0" borderId="23" xfId="0" applyFont="1" applyFill="1" applyBorder="1"/>
    <xf numFmtId="0" fontId="30" fillId="0" borderId="24" xfId="0" applyFont="1" applyFill="1" applyBorder="1" applyAlignment="1">
      <alignment horizontal="left" indent="1"/>
    </xf>
    <xf numFmtId="0" fontId="5" fillId="0" borderId="0" xfId="37" applyBorder="1" applyAlignment="1">
      <alignment horizontal="center" vertical="center" wrapText="1"/>
    </xf>
    <xf numFmtId="0" fontId="2" fillId="0" borderId="25" xfId="37" applyFont="1" applyBorder="1" applyAlignment="1">
      <alignment horizontal="left" vertical="center" wrapText="1"/>
    </xf>
    <xf numFmtId="0" fontId="5" fillId="19" borderId="0" xfId="37" applyFont="1" applyFill="1" applyAlignment="1">
      <alignment horizontal="center" vertical="center" wrapText="1"/>
    </xf>
    <xf numFmtId="0" fontId="29" fillId="0" borderId="0" xfId="37" applyFont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5" fillId="19" borderId="10" xfId="37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0" borderId="10" xfId="37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indent="1"/>
    </xf>
    <xf numFmtId="4" fontId="8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8" fillId="0" borderId="22" xfId="0" applyFont="1" applyFill="1" applyBorder="1" applyAlignment="1">
      <alignment vertical="center" wrapText="1"/>
    </xf>
    <xf numFmtId="0" fontId="9" fillId="20" borderId="10" xfId="37" applyFont="1" applyFill="1" applyBorder="1" applyAlignment="1">
      <alignment horizontal="left" vertical="center" wrapText="1"/>
    </xf>
    <xf numFmtId="4" fontId="8" fillId="20" borderId="10" xfId="37" applyNumberFormat="1" applyFont="1" applyFill="1" applyBorder="1" applyAlignment="1">
      <alignment horizontal="right" vertical="center" wrapText="1"/>
    </xf>
    <xf numFmtId="4" fontId="8" fillId="0" borderId="10" xfId="37" applyNumberFormat="1" applyFont="1" applyBorder="1" applyAlignment="1">
      <alignment horizontal="right" vertical="center" wrapText="1"/>
    </xf>
    <xf numFmtId="4" fontId="8" fillId="20" borderId="10" xfId="37" applyNumberFormat="1" applyFont="1" applyFill="1" applyBorder="1" applyAlignment="1">
      <alignment vertical="center" wrapText="1"/>
    </xf>
    <xf numFmtId="4" fontId="8" fillId="0" borderId="10" xfId="37" applyNumberFormat="1" applyFont="1" applyFill="1" applyBorder="1" applyAlignment="1">
      <alignment vertical="center" wrapText="1"/>
    </xf>
    <xf numFmtId="0" fontId="33" fillId="21" borderId="22" xfId="0" applyFont="1" applyFill="1" applyBorder="1" applyAlignment="1">
      <alignment vertical="center" wrapText="1"/>
    </xf>
    <xf numFmtId="0" fontId="5" fillId="19" borderId="10" xfId="37" applyFill="1" applyBorder="1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5" fillId="19" borderId="10" xfId="37" applyNumberFormat="1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27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3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4" fontId="8" fillId="0" borderId="15" xfId="37" applyNumberFormat="1" applyFont="1" applyBorder="1" applyAlignment="1">
      <alignment horizontal="right" vertical="center" wrapText="1"/>
    </xf>
    <xf numFmtId="4" fontId="8" fillId="0" borderId="11" xfId="37" applyNumberFormat="1" applyFont="1" applyBorder="1" applyAlignment="1">
      <alignment horizontal="right" vertical="center" wrapText="1"/>
    </xf>
    <xf numFmtId="0" fontId="7" fillId="0" borderId="0" xfId="37" applyFont="1" applyAlignment="1">
      <alignment horizontal="left" vertical="center" wrapText="1"/>
    </xf>
    <xf numFmtId="0" fontId="9" fillId="19" borderId="28" xfId="37" applyFont="1" applyFill="1" applyBorder="1" applyAlignment="1">
      <alignment horizontal="center" vertical="center" wrapText="1"/>
    </xf>
    <xf numFmtId="0" fontId="9" fillId="19" borderId="25" xfId="37" applyFont="1" applyFill="1" applyBorder="1" applyAlignment="1">
      <alignment horizontal="center" vertical="center" wrapText="1"/>
    </xf>
    <xf numFmtId="0" fontId="9" fillId="19" borderId="30" xfId="37" applyFont="1" applyFill="1" applyBorder="1" applyAlignment="1">
      <alignment horizontal="center" vertical="center" wrapText="1"/>
    </xf>
    <xf numFmtId="0" fontId="9" fillId="19" borderId="29" xfId="37" applyFont="1" applyFill="1" applyBorder="1" applyAlignment="1">
      <alignment horizontal="center" vertical="center" wrapText="1"/>
    </xf>
    <xf numFmtId="0" fontId="9" fillId="19" borderId="0" xfId="37" applyFont="1" applyFill="1" applyBorder="1" applyAlignment="1">
      <alignment horizontal="center" vertical="center" wrapText="1"/>
    </xf>
    <xf numFmtId="0" fontId="9" fillId="19" borderId="31" xfId="37" applyFont="1" applyFill="1" applyBorder="1" applyAlignment="1">
      <alignment horizontal="center" vertical="center" wrapText="1"/>
    </xf>
    <xf numFmtId="0" fontId="9" fillId="19" borderId="13" xfId="37" applyFont="1" applyFill="1" applyBorder="1" applyAlignment="1">
      <alignment horizontal="center" vertical="center" wrapText="1"/>
    </xf>
    <xf numFmtId="0" fontId="9" fillId="19" borderId="32" xfId="37" applyFont="1" applyFill="1" applyBorder="1" applyAlignment="1">
      <alignment horizontal="center" vertical="center" wrapText="1"/>
    </xf>
    <xf numFmtId="0" fontId="9" fillId="19" borderId="16" xfId="37" applyFont="1" applyFill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8" fillId="0" borderId="15" xfId="37" applyNumberFormat="1" applyFont="1" applyBorder="1" applyAlignment="1">
      <alignment horizontal="right" vertical="center" wrapText="1"/>
    </xf>
    <xf numFmtId="3" fontId="8" fillId="0" borderId="11" xfId="37" applyNumberFormat="1" applyFont="1" applyBorder="1" applyAlignment="1">
      <alignment horizontal="right" vertical="center" wrapText="1"/>
    </xf>
    <xf numFmtId="3" fontId="8" fillId="20" borderId="15" xfId="37" applyNumberFormat="1" applyFont="1" applyFill="1" applyBorder="1" applyAlignment="1">
      <alignment horizontal="right" vertical="center" wrapText="1"/>
    </xf>
    <xf numFmtId="3" fontId="8" fillId="20" borderId="11" xfId="37" applyNumberFormat="1" applyFont="1" applyFill="1" applyBorder="1" applyAlignment="1">
      <alignment horizontal="right" vertical="center" wrapText="1"/>
    </xf>
    <xf numFmtId="4" fontId="8" fillId="20" borderId="15" xfId="37" applyNumberFormat="1" applyFont="1" applyFill="1" applyBorder="1" applyAlignment="1">
      <alignment horizontal="right" vertical="center" wrapText="1"/>
    </xf>
    <xf numFmtId="4" fontId="8" fillId="20" borderId="11" xfId="37" applyNumberFormat="1" applyFont="1" applyFill="1" applyBorder="1" applyAlignment="1">
      <alignment horizontal="right" vertical="center" wrapText="1"/>
    </xf>
    <xf numFmtId="0" fontId="31" fillId="19" borderId="26" xfId="37" applyFont="1" applyFill="1" applyBorder="1" applyAlignment="1">
      <alignment horizontal="center" vertical="center" wrapText="1"/>
    </xf>
    <xf numFmtId="0" fontId="31" fillId="19" borderId="27" xfId="37" applyFont="1" applyFill="1" applyBorder="1" applyAlignment="1">
      <alignment horizontal="center" vertical="center" wrapText="1"/>
    </xf>
    <xf numFmtId="0" fontId="31" fillId="19" borderId="12" xfId="37" applyFont="1" applyFill="1" applyBorder="1" applyAlignment="1">
      <alignment horizontal="center" vertical="center" wrapText="1"/>
    </xf>
    <xf numFmtId="0" fontId="6" fillId="19" borderId="28" xfId="37" applyFont="1" applyFill="1" applyBorder="1" applyAlignment="1">
      <alignment horizontal="center" vertical="center" wrapText="1"/>
    </xf>
    <xf numFmtId="0" fontId="6" fillId="19" borderId="29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2" fillId="19" borderId="10" xfId="37" applyFont="1" applyFill="1" applyBorder="1" applyAlignment="1">
      <alignment horizontal="center" vertical="center" wrapText="1"/>
    </xf>
    <xf numFmtId="0" fontId="8" fillId="19" borderId="29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31" fillId="19" borderId="15" xfId="37" applyFont="1" applyFill="1" applyBorder="1" applyAlignment="1">
      <alignment horizontal="center" vertical="center" wrapText="1"/>
    </xf>
    <xf numFmtId="0" fontId="31" fillId="19" borderId="14" xfId="37" applyFont="1" applyFill="1" applyBorder="1" applyAlignment="1">
      <alignment horizontal="center" vertical="center" wrapText="1"/>
    </xf>
    <xf numFmtId="0" fontId="31" fillId="19" borderId="11" xfId="37" applyFont="1" applyFill="1" applyBorder="1" applyAlignment="1">
      <alignment horizontal="center" vertical="center" wrapText="1"/>
    </xf>
    <xf numFmtId="0" fontId="6" fillId="0" borderId="10" xfId="37" applyFont="1" applyBorder="1" applyAlignment="1">
      <alignment horizontal="left" vertical="center" wrapText="1"/>
    </xf>
    <xf numFmtId="0" fontId="6" fillId="20" borderId="10" xfId="37" applyFont="1" applyFill="1" applyBorder="1" applyAlignment="1">
      <alignment horizontal="left" vertical="center" wrapText="1"/>
    </xf>
    <xf numFmtId="0" fontId="6" fillId="19" borderId="30" xfId="37" applyFont="1" applyFill="1" applyBorder="1" applyAlignment="1">
      <alignment horizontal="center" vertical="center" wrapText="1"/>
    </xf>
    <xf numFmtId="0" fontId="6" fillId="19" borderId="31" xfId="37" applyFont="1" applyFill="1" applyBorder="1" applyAlignment="1">
      <alignment horizontal="center" vertical="center" wrapText="1"/>
    </xf>
    <xf numFmtId="0" fontId="6" fillId="19" borderId="16" xfId="37" applyFont="1" applyFill="1" applyBorder="1" applyAlignment="1">
      <alignment horizontal="center" vertical="center" wrapText="1"/>
    </xf>
    <xf numFmtId="0" fontId="6" fillId="20" borderId="14" xfId="37" applyFont="1" applyFill="1" applyBorder="1" applyAlignment="1">
      <alignment horizontal="left" vertical="center" wrapText="1"/>
    </xf>
    <xf numFmtId="0" fontId="6" fillId="20" borderId="11" xfId="37" applyFont="1" applyFill="1" applyBorder="1" applyAlignment="1">
      <alignment horizontal="left" vertical="center" wrapText="1"/>
    </xf>
    <xf numFmtId="0" fontId="6" fillId="0" borderId="14" xfId="37" applyFont="1" applyBorder="1" applyAlignment="1">
      <alignment horizontal="left" vertical="center" wrapText="1"/>
    </xf>
    <xf numFmtId="0" fontId="6" fillId="0" borderId="11" xfId="37" applyFont="1" applyBorder="1" applyAlignment="1">
      <alignment horizontal="left" vertical="center" wrapText="1"/>
    </xf>
    <xf numFmtId="0" fontId="6" fillId="19" borderId="26" xfId="37" applyFont="1" applyFill="1" applyBorder="1" applyAlignment="1">
      <alignment horizontal="center" vertical="center" wrapText="1"/>
    </xf>
    <xf numFmtId="0" fontId="6" fillId="19" borderId="27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20" borderId="23" xfId="37" applyFont="1" applyFill="1" applyBorder="1" applyAlignment="1">
      <alignment horizontal="left" vertical="center" wrapText="1"/>
    </xf>
    <xf numFmtId="0" fontId="9" fillId="19" borderId="14" xfId="37" applyFont="1" applyFill="1" applyBorder="1" applyAlignment="1">
      <alignment horizontal="center" vertical="center" wrapText="1"/>
    </xf>
    <xf numFmtId="0" fontId="9" fillId="19" borderId="11" xfId="37" applyFont="1" applyFill="1" applyBorder="1" applyAlignment="1">
      <alignment horizontal="center" vertical="center" wrapText="1"/>
    </xf>
    <xf numFmtId="0" fontId="9" fillId="19" borderId="33" xfId="37" applyFont="1" applyFill="1" applyBorder="1" applyAlignment="1">
      <alignment horizontal="center" vertical="center" wrapText="1"/>
    </xf>
    <xf numFmtId="0" fontId="6" fillId="19" borderId="34" xfId="37" applyFont="1" applyFill="1" applyBorder="1" applyAlignment="1">
      <alignment horizontal="center" vertical="center" wrapText="1"/>
    </xf>
    <xf numFmtId="0" fontId="6" fillId="19" borderId="35" xfId="37" applyFont="1" applyFill="1" applyBorder="1" applyAlignment="1">
      <alignment horizontal="center" vertical="center" wrapText="1"/>
    </xf>
    <xf numFmtId="0" fontId="6" fillId="19" borderId="18" xfId="37" applyFont="1" applyFill="1" applyBorder="1" applyAlignment="1">
      <alignment horizontal="center" vertical="center" wrapText="1"/>
    </xf>
    <xf numFmtId="0" fontId="6" fillId="19" borderId="10" xfId="37" applyNumberFormat="1" applyFont="1" applyFill="1" applyBorder="1" applyAlignment="1">
      <alignment horizontal="center" vertical="center" wrapText="1"/>
    </xf>
    <xf numFmtId="0" fontId="4" fillId="0" borderId="0" xfId="37" applyFont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9" fillId="19" borderId="19" xfId="37" applyFont="1" applyFill="1" applyBorder="1" applyAlignment="1">
      <alignment horizontal="center" vertical="center" wrapText="1"/>
    </xf>
    <xf numFmtId="0" fontId="3" fillId="0" borderId="0" xfId="37" applyFont="1" applyBorder="1" applyAlignment="1">
      <alignment horizontal="left" vertical="center" wrapText="1"/>
    </xf>
    <xf numFmtId="0" fontId="3" fillId="0" borderId="31" xfId="37" applyFont="1" applyBorder="1" applyAlignment="1">
      <alignment horizontal="left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center" vertical="center" wrapText="1"/>
    </xf>
    <xf numFmtId="0" fontId="2" fillId="0" borderId="14" xfId="37" applyFont="1" applyBorder="1" applyAlignment="1">
      <alignment horizontal="center" vertical="center" wrapText="1"/>
    </xf>
    <xf numFmtId="0" fontId="2" fillId="0" borderId="11" xfId="37" applyFont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center" vertical="center" wrapText="1"/>
    </xf>
    <xf numFmtId="0" fontId="2" fillId="20" borderId="14" xfId="37" applyFont="1" applyFill="1" applyBorder="1" applyAlignment="1">
      <alignment horizontal="center" vertical="center" wrapText="1"/>
    </xf>
    <xf numFmtId="0" fontId="2" fillId="20" borderId="11" xfId="37" applyFont="1" applyFill="1" applyBorder="1" applyAlignment="1">
      <alignment horizontal="center" vertical="center" wrapText="1"/>
    </xf>
    <xf numFmtId="0" fontId="2" fillId="0" borderId="0" xfId="37" applyFont="1" applyBorder="1" applyAlignment="1">
      <alignment horizontal="left" vertical="center" wrapText="1"/>
    </xf>
    <xf numFmtId="1" fontId="2" fillId="0" borderId="10" xfId="37" applyNumberFormat="1" applyFont="1" applyBorder="1" applyAlignment="1">
      <alignment horizontal="left" vertical="center" wrapText="1"/>
    </xf>
    <xf numFmtId="0" fontId="6" fillId="19" borderId="25" xfId="37" applyFont="1" applyFill="1" applyBorder="1" applyAlignment="1">
      <alignment horizontal="center" vertical="center" wrapText="1"/>
    </xf>
    <xf numFmtId="0" fontId="6" fillId="19" borderId="0" xfId="37" applyFont="1" applyFill="1" applyBorder="1" applyAlignment="1">
      <alignment horizontal="center" vertical="center" wrapText="1"/>
    </xf>
    <xf numFmtId="0" fontId="6" fillId="19" borderId="3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26" xfId="37" applyFont="1" applyFill="1" applyBorder="1" applyAlignment="1">
      <alignment horizontal="center" vertical="center" wrapText="1"/>
    </xf>
    <xf numFmtId="0" fontId="5" fillId="19" borderId="27" xfId="37" applyFont="1" applyFill="1" applyBorder="1" applyAlignment="1">
      <alignment horizontal="center" vertical="center" wrapText="1"/>
    </xf>
    <xf numFmtId="0" fontId="5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67" t="str">
        <f>CONCATENATE("Informacja z wykonania budżetów miast na prawach powiatu za  ",$C$93," ",$B$94," roku     ",$B$96,"")</f>
        <v xml:space="preserve">Informacja z wykonania budżetów miast na prawach powiatu za  II Kwartały 2023 roku     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77" t="s">
        <v>134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5" spans="1:17" ht="13.5" customHeight="1" x14ac:dyDescent="0.2">
      <c r="B5" s="39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38"/>
      <c r="O5" s="38"/>
      <c r="P5" s="38"/>
      <c r="Q5" s="38"/>
    </row>
    <row r="6" spans="1:17" ht="13.5" customHeight="1" x14ac:dyDescent="0.2">
      <c r="A6" s="96" t="s">
        <v>0</v>
      </c>
      <c r="B6" s="68" t="s">
        <v>135</v>
      </c>
      <c r="C6" s="63" t="s">
        <v>139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  <c r="O6" s="63" t="s">
        <v>138</v>
      </c>
      <c r="P6" s="64"/>
      <c r="Q6" s="65"/>
    </row>
    <row r="7" spans="1:17" ht="13.5" customHeight="1" x14ac:dyDescent="0.2">
      <c r="A7" s="97"/>
      <c r="B7" s="69"/>
      <c r="C7" s="70" t="s">
        <v>136</v>
      </c>
      <c r="D7" s="70" t="s">
        <v>3</v>
      </c>
      <c r="E7" s="70" t="s">
        <v>140</v>
      </c>
      <c r="F7" s="70" t="s">
        <v>141</v>
      </c>
      <c r="G7" s="70" t="s">
        <v>76</v>
      </c>
      <c r="H7" s="70" t="s">
        <v>77</v>
      </c>
      <c r="I7" s="103" t="s">
        <v>137</v>
      </c>
      <c r="J7" s="70" t="s">
        <v>59</v>
      </c>
      <c r="K7" s="70" t="s">
        <v>60</v>
      </c>
      <c r="L7" s="70" t="s">
        <v>61</v>
      </c>
      <c r="M7" s="70" t="s">
        <v>62</v>
      </c>
      <c r="N7" s="69" t="s">
        <v>63</v>
      </c>
      <c r="O7" s="66" t="s">
        <v>64</v>
      </c>
      <c r="P7" s="66" t="s">
        <v>65</v>
      </c>
      <c r="Q7" s="66" t="s">
        <v>66</v>
      </c>
    </row>
    <row r="8" spans="1:17" ht="13.5" customHeight="1" x14ac:dyDescent="0.2">
      <c r="A8" s="97"/>
      <c r="B8" s="69"/>
      <c r="C8" s="66"/>
      <c r="D8" s="66"/>
      <c r="E8" s="66"/>
      <c r="F8" s="66"/>
      <c r="G8" s="66"/>
      <c r="H8" s="66"/>
      <c r="I8" s="103"/>
      <c r="J8" s="66"/>
      <c r="K8" s="66"/>
      <c r="L8" s="66"/>
      <c r="M8" s="66"/>
      <c r="N8" s="69"/>
      <c r="O8" s="66"/>
      <c r="P8" s="66"/>
      <c r="Q8" s="66"/>
    </row>
    <row r="9" spans="1:17" ht="11.25" customHeight="1" x14ac:dyDescent="0.2">
      <c r="A9" s="97"/>
      <c r="B9" s="69"/>
      <c r="C9" s="66"/>
      <c r="D9" s="66"/>
      <c r="E9" s="66"/>
      <c r="F9" s="66"/>
      <c r="G9" s="66"/>
      <c r="H9" s="66"/>
      <c r="I9" s="103"/>
      <c r="J9" s="66"/>
      <c r="K9" s="66"/>
      <c r="L9" s="66"/>
      <c r="M9" s="66"/>
      <c r="N9" s="69"/>
      <c r="O9" s="66"/>
      <c r="P9" s="66"/>
      <c r="Q9" s="66"/>
    </row>
    <row r="10" spans="1:17" ht="11.25" customHeight="1" x14ac:dyDescent="0.2">
      <c r="A10" s="98"/>
      <c r="B10" s="70"/>
      <c r="C10" s="66"/>
      <c r="D10" s="66"/>
      <c r="E10" s="66"/>
      <c r="F10" s="66"/>
      <c r="G10" s="66"/>
      <c r="H10" s="66"/>
      <c r="I10" s="104"/>
      <c r="J10" s="66"/>
      <c r="K10" s="66"/>
      <c r="L10" s="66"/>
      <c r="M10" s="66"/>
      <c r="N10" s="70"/>
      <c r="O10" s="66"/>
      <c r="P10" s="66"/>
      <c r="Q10" s="66"/>
    </row>
    <row r="11" spans="1:17" ht="11.25" customHeight="1" x14ac:dyDescent="0.2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</row>
    <row r="12" spans="1:17" ht="13.5" customHeight="1" x14ac:dyDescent="0.2">
      <c r="A12" s="41"/>
      <c r="B12" s="56" t="s">
        <v>150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3" spans="1:17" ht="38.25" customHeight="1" x14ac:dyDescent="0.2">
      <c r="A13" s="48" t="s">
        <v>107</v>
      </c>
      <c r="B13" s="49">
        <f>45471734670.23</f>
        <v>45471734670.230003</v>
      </c>
      <c r="C13" s="49">
        <f>23898686378.94</f>
        <v>23898686378.939999</v>
      </c>
      <c r="D13" s="49">
        <f>398693145.03</f>
        <v>398693145.02999997</v>
      </c>
      <c r="E13" s="49">
        <f>503.43</f>
        <v>503.43</v>
      </c>
      <c r="F13" s="49">
        <f>214945660.22</f>
        <v>214945660.22</v>
      </c>
      <c r="G13" s="49">
        <f>183746981.38</f>
        <v>183746981.38</v>
      </c>
      <c r="H13" s="49">
        <f>0</f>
        <v>0</v>
      </c>
      <c r="I13" s="49">
        <f>0</f>
        <v>0</v>
      </c>
      <c r="J13" s="49">
        <f>21103105222.42</f>
        <v>21103105222.419998</v>
      </c>
      <c r="K13" s="49">
        <f>950790081.25</f>
        <v>950790081.25</v>
      </c>
      <c r="L13" s="49">
        <f>1430875728.33</f>
        <v>1430875728.3299999</v>
      </c>
      <c r="M13" s="49">
        <f>12220028.86</f>
        <v>12220028.859999999</v>
      </c>
      <c r="N13" s="49">
        <f>3002173.05</f>
        <v>3002173.05</v>
      </c>
      <c r="O13" s="49">
        <f>21573048291.29</f>
        <v>21573048291.290001</v>
      </c>
      <c r="P13" s="49">
        <f>21551140396.55</f>
        <v>21551140396.549999</v>
      </c>
      <c r="Q13" s="49">
        <f>21907894.74</f>
        <v>21907894.739999998</v>
      </c>
    </row>
    <row r="14" spans="1:17" ht="38.25" customHeight="1" x14ac:dyDescent="0.2">
      <c r="A14" s="48" t="s">
        <v>108</v>
      </c>
      <c r="B14" s="49">
        <f>4067941000</f>
        <v>4067941000</v>
      </c>
      <c r="C14" s="49">
        <f>4067941000</f>
        <v>4067941000</v>
      </c>
      <c r="D14" s="49">
        <f>0</f>
        <v>0</v>
      </c>
      <c r="E14" s="49">
        <f>0</f>
        <v>0</v>
      </c>
      <c r="F14" s="49">
        <f>0</f>
        <v>0</v>
      </c>
      <c r="G14" s="49">
        <f>0</f>
        <v>0</v>
      </c>
      <c r="H14" s="49">
        <f>0</f>
        <v>0</v>
      </c>
      <c r="I14" s="49">
        <f>0</f>
        <v>0</v>
      </c>
      <c r="J14" s="49">
        <f>3901441000</f>
        <v>3901441000</v>
      </c>
      <c r="K14" s="49">
        <f>166500000</f>
        <v>166500000</v>
      </c>
      <c r="L14" s="49">
        <f>0</f>
        <v>0</v>
      </c>
      <c r="M14" s="49">
        <f>0</f>
        <v>0</v>
      </c>
      <c r="N14" s="49">
        <f>0</f>
        <v>0</v>
      </c>
      <c r="O14" s="49">
        <f>0</f>
        <v>0</v>
      </c>
      <c r="P14" s="49">
        <f>0</f>
        <v>0</v>
      </c>
      <c r="Q14" s="49">
        <f>0</f>
        <v>0</v>
      </c>
    </row>
    <row r="15" spans="1:17" ht="38.25" customHeight="1" x14ac:dyDescent="0.2">
      <c r="A15" s="46" t="s">
        <v>109</v>
      </c>
      <c r="B15" s="50">
        <f>10000000</f>
        <v>10000000</v>
      </c>
      <c r="C15" s="50">
        <f>10000000</f>
        <v>10000000</v>
      </c>
      <c r="D15" s="50">
        <f>0</f>
        <v>0</v>
      </c>
      <c r="E15" s="50">
        <f>0</f>
        <v>0</v>
      </c>
      <c r="F15" s="50">
        <f>0</f>
        <v>0</v>
      </c>
      <c r="G15" s="50">
        <f>0</f>
        <v>0</v>
      </c>
      <c r="H15" s="50">
        <f>0</f>
        <v>0</v>
      </c>
      <c r="I15" s="50">
        <f>0</f>
        <v>0</v>
      </c>
      <c r="J15" s="50">
        <f>10000000</f>
        <v>10000000</v>
      </c>
      <c r="K15" s="50">
        <f>0</f>
        <v>0</v>
      </c>
      <c r="L15" s="50">
        <f>0</f>
        <v>0</v>
      </c>
      <c r="M15" s="50">
        <f>0</f>
        <v>0</v>
      </c>
      <c r="N15" s="50">
        <f>0</f>
        <v>0</v>
      </c>
      <c r="O15" s="50">
        <f>0</f>
        <v>0</v>
      </c>
      <c r="P15" s="50">
        <f>0</f>
        <v>0</v>
      </c>
      <c r="Q15" s="50">
        <f>0</f>
        <v>0</v>
      </c>
    </row>
    <row r="16" spans="1:17" ht="38.25" customHeight="1" x14ac:dyDescent="0.2">
      <c r="A16" s="46" t="s">
        <v>110</v>
      </c>
      <c r="B16" s="50">
        <f>4057941000</f>
        <v>4057941000</v>
      </c>
      <c r="C16" s="50">
        <f>4057941000</f>
        <v>4057941000</v>
      </c>
      <c r="D16" s="50">
        <f>0</f>
        <v>0</v>
      </c>
      <c r="E16" s="50">
        <f>0</f>
        <v>0</v>
      </c>
      <c r="F16" s="50">
        <f>0</f>
        <v>0</v>
      </c>
      <c r="G16" s="50">
        <f>0</f>
        <v>0</v>
      </c>
      <c r="H16" s="50">
        <f>0</f>
        <v>0</v>
      </c>
      <c r="I16" s="50">
        <f>0</f>
        <v>0</v>
      </c>
      <c r="J16" s="50">
        <f>3891441000</f>
        <v>3891441000</v>
      </c>
      <c r="K16" s="50">
        <f>166500000</f>
        <v>166500000</v>
      </c>
      <c r="L16" s="50">
        <f>0</f>
        <v>0</v>
      </c>
      <c r="M16" s="50">
        <f>0</f>
        <v>0</v>
      </c>
      <c r="N16" s="50">
        <f>0</f>
        <v>0</v>
      </c>
      <c r="O16" s="50">
        <f>0</f>
        <v>0</v>
      </c>
      <c r="P16" s="50">
        <f>0</f>
        <v>0</v>
      </c>
      <c r="Q16" s="50">
        <f>0</f>
        <v>0</v>
      </c>
    </row>
    <row r="17" spans="1:17" ht="38.25" customHeight="1" x14ac:dyDescent="0.2">
      <c r="A17" s="48" t="s">
        <v>111</v>
      </c>
      <c r="B17" s="49">
        <f>41379203493.66</f>
        <v>41379203493.660004</v>
      </c>
      <c r="C17" s="49">
        <f>19806155202.37</f>
        <v>19806155202.369999</v>
      </c>
      <c r="D17" s="49">
        <f>395051004.96</f>
        <v>395051004.95999998</v>
      </c>
      <c r="E17" s="49">
        <f>0</f>
        <v>0</v>
      </c>
      <c r="F17" s="49">
        <f>214945660.22</f>
        <v>214945660.22</v>
      </c>
      <c r="G17" s="49">
        <f>180105344.74</f>
        <v>180105344.74000001</v>
      </c>
      <c r="H17" s="49">
        <f>0</f>
        <v>0</v>
      </c>
      <c r="I17" s="49">
        <f>0</f>
        <v>0</v>
      </c>
      <c r="J17" s="49">
        <f>17201664222.42</f>
        <v>17201664222.419998</v>
      </c>
      <c r="K17" s="49">
        <f>784290081.25</f>
        <v>784290081.25</v>
      </c>
      <c r="L17" s="49">
        <f>1425099893.74</f>
        <v>1425099893.74</v>
      </c>
      <c r="M17" s="49">
        <f>50000</f>
        <v>50000</v>
      </c>
      <c r="N17" s="49">
        <f>0</f>
        <v>0</v>
      </c>
      <c r="O17" s="49">
        <f>21573048291.29</f>
        <v>21573048291.290001</v>
      </c>
      <c r="P17" s="49">
        <f>21551140396.55</f>
        <v>21551140396.549999</v>
      </c>
      <c r="Q17" s="49">
        <f>21907894.74</f>
        <v>21907894.739999998</v>
      </c>
    </row>
    <row r="18" spans="1:17" ht="38.25" customHeight="1" x14ac:dyDescent="0.2">
      <c r="A18" s="46" t="s">
        <v>112</v>
      </c>
      <c r="B18" s="50">
        <f>553711450.06</f>
        <v>553711450.05999994</v>
      </c>
      <c r="C18" s="50">
        <f>553711450.06</f>
        <v>553711450.05999994</v>
      </c>
      <c r="D18" s="50">
        <f>0</f>
        <v>0</v>
      </c>
      <c r="E18" s="50">
        <f>0</f>
        <v>0</v>
      </c>
      <c r="F18" s="50">
        <f>0</f>
        <v>0</v>
      </c>
      <c r="G18" s="50">
        <f>0</f>
        <v>0</v>
      </c>
      <c r="H18" s="50">
        <f>0</f>
        <v>0</v>
      </c>
      <c r="I18" s="50">
        <f>0</f>
        <v>0</v>
      </c>
      <c r="J18" s="50">
        <f>552850204.06</f>
        <v>552850204.05999994</v>
      </c>
      <c r="K18" s="50">
        <f>0</f>
        <v>0</v>
      </c>
      <c r="L18" s="50">
        <f>861246</f>
        <v>861246</v>
      </c>
      <c r="M18" s="50">
        <f>0</f>
        <v>0</v>
      </c>
      <c r="N18" s="50">
        <f>0</f>
        <v>0</v>
      </c>
      <c r="O18" s="50">
        <f>0</f>
        <v>0</v>
      </c>
      <c r="P18" s="50">
        <f>0</f>
        <v>0</v>
      </c>
      <c r="Q18" s="50">
        <f>0</f>
        <v>0</v>
      </c>
    </row>
    <row r="19" spans="1:17" ht="38.25" customHeight="1" x14ac:dyDescent="0.2">
      <c r="A19" s="46" t="s">
        <v>113</v>
      </c>
      <c r="B19" s="50">
        <f>40825492043.6</f>
        <v>40825492043.599998</v>
      </c>
      <c r="C19" s="50">
        <f>19252443752.31</f>
        <v>19252443752.310001</v>
      </c>
      <c r="D19" s="50">
        <f>395051004.96</f>
        <v>395051004.95999998</v>
      </c>
      <c r="E19" s="50">
        <f>0</f>
        <v>0</v>
      </c>
      <c r="F19" s="50">
        <f>214945660.22</f>
        <v>214945660.22</v>
      </c>
      <c r="G19" s="50">
        <f>180105344.74</f>
        <v>180105344.74000001</v>
      </c>
      <c r="H19" s="50">
        <f>0</f>
        <v>0</v>
      </c>
      <c r="I19" s="50">
        <f>0</f>
        <v>0</v>
      </c>
      <c r="J19" s="50">
        <f>16648814018.36</f>
        <v>16648814018.360001</v>
      </c>
      <c r="K19" s="50">
        <f>784290081.25</f>
        <v>784290081.25</v>
      </c>
      <c r="L19" s="50">
        <f>1424238647.74</f>
        <v>1424238647.74</v>
      </c>
      <c r="M19" s="50">
        <f>50000</f>
        <v>50000</v>
      </c>
      <c r="N19" s="50">
        <f>0</f>
        <v>0</v>
      </c>
      <c r="O19" s="50">
        <f>21573048291.29</f>
        <v>21573048291.290001</v>
      </c>
      <c r="P19" s="50">
        <f>21551140396.55</f>
        <v>21551140396.549999</v>
      </c>
      <c r="Q19" s="50">
        <f>21907894.74</f>
        <v>21907894.739999998</v>
      </c>
    </row>
    <row r="20" spans="1:17" ht="38.25" customHeight="1" x14ac:dyDescent="0.2">
      <c r="A20" s="48" t="s">
        <v>114</v>
      </c>
      <c r="B20" s="49">
        <f>0</f>
        <v>0</v>
      </c>
      <c r="C20" s="49">
        <f>0</f>
        <v>0</v>
      </c>
      <c r="D20" s="49">
        <f>0</f>
        <v>0</v>
      </c>
      <c r="E20" s="49">
        <f>0</f>
        <v>0</v>
      </c>
      <c r="F20" s="49">
        <f>0</f>
        <v>0</v>
      </c>
      <c r="G20" s="49">
        <f>0</f>
        <v>0</v>
      </c>
      <c r="H20" s="49">
        <f>0</f>
        <v>0</v>
      </c>
      <c r="I20" s="49">
        <f>0</f>
        <v>0</v>
      </c>
      <c r="J20" s="49">
        <f>0</f>
        <v>0</v>
      </c>
      <c r="K20" s="49">
        <f>0</f>
        <v>0</v>
      </c>
      <c r="L20" s="49">
        <f>0</f>
        <v>0</v>
      </c>
      <c r="M20" s="49">
        <f>0</f>
        <v>0</v>
      </c>
      <c r="N20" s="49">
        <f>0</f>
        <v>0</v>
      </c>
      <c r="O20" s="49">
        <f>0</f>
        <v>0</v>
      </c>
      <c r="P20" s="49">
        <f>0</f>
        <v>0</v>
      </c>
      <c r="Q20" s="49">
        <f>0</f>
        <v>0</v>
      </c>
    </row>
    <row r="21" spans="1:17" ht="38.25" customHeight="1" x14ac:dyDescent="0.2">
      <c r="A21" s="48" t="s">
        <v>151</v>
      </c>
      <c r="B21" s="49">
        <f>24590176.57</f>
        <v>24590176.57</v>
      </c>
      <c r="C21" s="49">
        <f>24590176.57</f>
        <v>24590176.57</v>
      </c>
      <c r="D21" s="49">
        <f>3642140.07</f>
        <v>3642140.07</v>
      </c>
      <c r="E21" s="49">
        <f>503.43</f>
        <v>503.43</v>
      </c>
      <c r="F21" s="49">
        <f>0</f>
        <v>0</v>
      </c>
      <c r="G21" s="49">
        <f>3641636.64</f>
        <v>3641636.64</v>
      </c>
      <c r="H21" s="49">
        <f>0</f>
        <v>0</v>
      </c>
      <c r="I21" s="49">
        <f>0</f>
        <v>0</v>
      </c>
      <c r="J21" s="49">
        <f>0</f>
        <v>0</v>
      </c>
      <c r="K21" s="49">
        <f>0</f>
        <v>0</v>
      </c>
      <c r="L21" s="49">
        <f>5775834.59</f>
        <v>5775834.5899999999</v>
      </c>
      <c r="M21" s="49">
        <f>12170028.86</f>
        <v>12170028.859999999</v>
      </c>
      <c r="N21" s="49">
        <f>3002173.05</f>
        <v>3002173.05</v>
      </c>
      <c r="O21" s="49">
        <f>0</f>
        <v>0</v>
      </c>
      <c r="P21" s="49">
        <f>0</f>
        <v>0</v>
      </c>
      <c r="Q21" s="49">
        <f>0</f>
        <v>0</v>
      </c>
    </row>
    <row r="22" spans="1:17" ht="38.25" customHeight="1" x14ac:dyDescent="0.2">
      <c r="A22" s="46" t="s">
        <v>116</v>
      </c>
      <c r="B22" s="50">
        <f>20209512.92</f>
        <v>20209512.920000002</v>
      </c>
      <c r="C22" s="50">
        <f>20209512.92</f>
        <v>20209512.920000002</v>
      </c>
      <c r="D22" s="50">
        <f>1159227.32</f>
        <v>1159227.32</v>
      </c>
      <c r="E22" s="50">
        <f>155.48</f>
        <v>155.47999999999999</v>
      </c>
      <c r="F22" s="50">
        <f>0</f>
        <v>0</v>
      </c>
      <c r="G22" s="50">
        <f>1159071.84</f>
        <v>1159071.8400000001</v>
      </c>
      <c r="H22" s="50">
        <f>0</f>
        <v>0</v>
      </c>
      <c r="I22" s="50">
        <f>0</f>
        <v>0</v>
      </c>
      <c r="J22" s="50">
        <f>0</f>
        <v>0</v>
      </c>
      <c r="K22" s="50">
        <f>0</f>
        <v>0</v>
      </c>
      <c r="L22" s="50">
        <f>4294469.08</f>
        <v>4294469.08</v>
      </c>
      <c r="M22" s="50">
        <f>11755026.51</f>
        <v>11755026.51</v>
      </c>
      <c r="N22" s="50">
        <f>3000790.01</f>
        <v>3000790.01</v>
      </c>
      <c r="O22" s="50">
        <f>0</f>
        <v>0</v>
      </c>
      <c r="P22" s="50">
        <f>0</f>
        <v>0</v>
      </c>
      <c r="Q22" s="50">
        <f>0</f>
        <v>0</v>
      </c>
    </row>
    <row r="23" spans="1:17" ht="38.25" customHeight="1" x14ac:dyDescent="0.2">
      <c r="A23" s="46" t="s">
        <v>117</v>
      </c>
      <c r="B23" s="50">
        <f>4380663.65</f>
        <v>4380663.6500000004</v>
      </c>
      <c r="C23" s="50">
        <f>4380663.65</f>
        <v>4380663.6500000004</v>
      </c>
      <c r="D23" s="50">
        <f>2482912.75</f>
        <v>2482912.75</v>
      </c>
      <c r="E23" s="50">
        <f>347.95</f>
        <v>347.95</v>
      </c>
      <c r="F23" s="50">
        <f>0</f>
        <v>0</v>
      </c>
      <c r="G23" s="50">
        <f>2482564.8</f>
        <v>2482564.7999999998</v>
      </c>
      <c r="H23" s="50">
        <f>0</f>
        <v>0</v>
      </c>
      <c r="I23" s="50">
        <f>0</f>
        <v>0</v>
      </c>
      <c r="J23" s="50">
        <f>0</f>
        <v>0</v>
      </c>
      <c r="K23" s="50">
        <f>0</f>
        <v>0</v>
      </c>
      <c r="L23" s="50">
        <f>1481365.51</f>
        <v>1481365.51</v>
      </c>
      <c r="M23" s="50">
        <f>415002.35</f>
        <v>415002.35</v>
      </c>
      <c r="N23" s="50">
        <f>1383.04</f>
        <v>1383.04</v>
      </c>
      <c r="O23" s="50">
        <f>0</f>
        <v>0</v>
      </c>
      <c r="P23" s="50">
        <f>0</f>
        <v>0</v>
      </c>
      <c r="Q23" s="50">
        <f>0</f>
        <v>0</v>
      </c>
    </row>
    <row r="24" spans="1:17" ht="19.5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9.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9.5" customHeigh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9.5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9.5" customHeight="1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ht="19.5" customHeigh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ht="45.75" customHeight="1" x14ac:dyDescent="0.2">
      <c r="A30" s="67" t="str">
        <f>CONCATENATE("Informacja z wykonania budżetów miast na prawach powiatu za  ",$C$93," ",$B$94," roku     ",$B$96,"")</f>
        <v xml:space="preserve">Informacja z wykonania budżetów miast na prawach powiatu za  II Kwartały 2023 roku     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2" spans="1:17" ht="13.5" customHeight="1" x14ac:dyDescent="0.2">
      <c r="A32" s="77" t="s">
        <v>52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4" spans="1:17" ht="13.5" customHeight="1" x14ac:dyDescent="0.2">
      <c r="A34" s="96" t="s">
        <v>0</v>
      </c>
      <c r="B34" s="68" t="s">
        <v>53</v>
      </c>
      <c r="C34" s="106" t="s">
        <v>55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8"/>
      <c r="O34" s="106" t="s">
        <v>73</v>
      </c>
      <c r="P34" s="107"/>
      <c r="Q34" s="108"/>
    </row>
    <row r="35" spans="1:17" ht="13.5" customHeight="1" x14ac:dyDescent="0.2">
      <c r="A35" s="97"/>
      <c r="B35" s="69"/>
      <c r="C35" s="69" t="s">
        <v>54</v>
      </c>
      <c r="D35" s="66" t="s">
        <v>57</v>
      </c>
      <c r="E35" s="66" t="s">
        <v>74</v>
      </c>
      <c r="F35" s="66" t="s">
        <v>75</v>
      </c>
      <c r="G35" s="66" t="s">
        <v>145</v>
      </c>
      <c r="H35" s="66" t="s">
        <v>77</v>
      </c>
      <c r="I35" s="66" t="s">
        <v>4</v>
      </c>
      <c r="J35" s="66" t="s">
        <v>59</v>
      </c>
      <c r="K35" s="66" t="s">
        <v>60</v>
      </c>
      <c r="L35" s="66" t="s">
        <v>61</v>
      </c>
      <c r="M35" s="66" t="s">
        <v>62</v>
      </c>
      <c r="N35" s="71" t="s">
        <v>63</v>
      </c>
      <c r="O35" s="66" t="s">
        <v>64</v>
      </c>
      <c r="P35" s="66" t="s">
        <v>65</v>
      </c>
      <c r="Q35" s="68" t="s">
        <v>66</v>
      </c>
    </row>
    <row r="36" spans="1:17" ht="11.25" customHeight="1" x14ac:dyDescent="0.2">
      <c r="A36" s="97"/>
      <c r="B36" s="69"/>
      <c r="C36" s="69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71"/>
      <c r="O36" s="66"/>
      <c r="P36" s="66"/>
      <c r="Q36" s="69"/>
    </row>
    <row r="37" spans="1:17" ht="24.75" customHeight="1" x14ac:dyDescent="0.2">
      <c r="A37" s="98"/>
      <c r="B37" s="70"/>
      <c r="C37" s="70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71"/>
      <c r="O37" s="66"/>
      <c r="P37" s="66"/>
      <c r="Q37" s="70"/>
    </row>
    <row r="38" spans="1:17" ht="13.5" customHeight="1" x14ac:dyDescent="0.2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41">
        <v>10</v>
      </c>
      <c r="K38" s="41">
        <v>11</v>
      </c>
      <c r="L38" s="41">
        <v>12</v>
      </c>
      <c r="M38" s="41">
        <v>13</v>
      </c>
      <c r="N38" s="41">
        <v>14</v>
      </c>
      <c r="O38" s="41">
        <v>15</v>
      </c>
      <c r="P38" s="41">
        <v>16</v>
      </c>
      <c r="Q38" s="41">
        <v>17</v>
      </c>
    </row>
    <row r="39" spans="1:17" ht="12.75" customHeight="1" x14ac:dyDescent="0.2">
      <c r="A39" s="40"/>
      <c r="B39" s="59" t="s">
        <v>150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1"/>
    </row>
    <row r="40" spans="1:17" ht="26.25" customHeight="1" x14ac:dyDescent="0.2">
      <c r="A40" s="53" t="s">
        <v>92</v>
      </c>
      <c r="B40" s="51">
        <f>100453.82</f>
        <v>100453.82</v>
      </c>
      <c r="C40" s="51">
        <f>100453.82</f>
        <v>100453.82</v>
      </c>
      <c r="D40" s="51">
        <f>0</f>
        <v>0</v>
      </c>
      <c r="E40" s="51">
        <f>0</f>
        <v>0</v>
      </c>
      <c r="F40" s="51">
        <f>0</f>
        <v>0</v>
      </c>
      <c r="G40" s="51">
        <f>0</f>
        <v>0</v>
      </c>
      <c r="H40" s="51">
        <f>0</f>
        <v>0</v>
      </c>
      <c r="I40" s="51">
        <f>0</f>
        <v>0</v>
      </c>
      <c r="J40" s="51">
        <f>0</f>
        <v>0</v>
      </c>
      <c r="K40" s="51">
        <f>0</f>
        <v>0</v>
      </c>
      <c r="L40" s="51">
        <f>100453.82</f>
        <v>100453.82</v>
      </c>
      <c r="M40" s="51">
        <f>0</f>
        <v>0</v>
      </c>
      <c r="N40" s="51">
        <f>0</f>
        <v>0</v>
      </c>
      <c r="O40" s="51">
        <f>0</f>
        <v>0</v>
      </c>
      <c r="P40" s="51">
        <f>0</f>
        <v>0</v>
      </c>
      <c r="Q40" s="51">
        <f>0</f>
        <v>0</v>
      </c>
    </row>
    <row r="41" spans="1:17" ht="26.25" customHeight="1" x14ac:dyDescent="0.2">
      <c r="A41" s="47" t="s">
        <v>80</v>
      </c>
      <c r="B41" s="52">
        <f>0</f>
        <v>0</v>
      </c>
      <c r="C41" s="52">
        <f>0</f>
        <v>0</v>
      </c>
      <c r="D41" s="52">
        <f>0</f>
        <v>0</v>
      </c>
      <c r="E41" s="52">
        <f>0</f>
        <v>0</v>
      </c>
      <c r="F41" s="52">
        <f>0</f>
        <v>0</v>
      </c>
      <c r="G41" s="52">
        <f>0</f>
        <v>0</v>
      </c>
      <c r="H41" s="52">
        <f>0</f>
        <v>0</v>
      </c>
      <c r="I41" s="52">
        <f>0</f>
        <v>0</v>
      </c>
      <c r="J41" s="52">
        <f>0</f>
        <v>0</v>
      </c>
      <c r="K41" s="52">
        <f>0</f>
        <v>0</v>
      </c>
      <c r="L41" s="52">
        <f>0</f>
        <v>0</v>
      </c>
      <c r="M41" s="52">
        <f>0</f>
        <v>0</v>
      </c>
      <c r="N41" s="52">
        <f>0</f>
        <v>0</v>
      </c>
      <c r="O41" s="52">
        <f>0</f>
        <v>0</v>
      </c>
      <c r="P41" s="52">
        <f>0</f>
        <v>0</v>
      </c>
      <c r="Q41" s="52">
        <f>0</f>
        <v>0</v>
      </c>
    </row>
    <row r="42" spans="1:17" ht="26.25" customHeight="1" x14ac:dyDescent="0.2">
      <c r="A42" s="47" t="s">
        <v>81</v>
      </c>
      <c r="B42" s="52">
        <f>100453.82</f>
        <v>100453.82</v>
      </c>
      <c r="C42" s="52">
        <f>100453.82</f>
        <v>100453.82</v>
      </c>
      <c r="D42" s="52">
        <f>0</f>
        <v>0</v>
      </c>
      <c r="E42" s="52">
        <f>0</f>
        <v>0</v>
      </c>
      <c r="F42" s="52">
        <f>0</f>
        <v>0</v>
      </c>
      <c r="G42" s="52">
        <f>0</f>
        <v>0</v>
      </c>
      <c r="H42" s="52">
        <f>0</f>
        <v>0</v>
      </c>
      <c r="I42" s="52">
        <f>0</f>
        <v>0</v>
      </c>
      <c r="J42" s="52">
        <f>0</f>
        <v>0</v>
      </c>
      <c r="K42" s="52">
        <f>0</f>
        <v>0</v>
      </c>
      <c r="L42" s="52">
        <f>100453.82</f>
        <v>100453.82</v>
      </c>
      <c r="M42" s="52">
        <f>0</f>
        <v>0</v>
      </c>
      <c r="N42" s="52">
        <f>0</f>
        <v>0</v>
      </c>
      <c r="O42" s="52">
        <f>0</f>
        <v>0</v>
      </c>
      <c r="P42" s="52">
        <f>0</f>
        <v>0</v>
      </c>
      <c r="Q42" s="52">
        <f>0</f>
        <v>0</v>
      </c>
    </row>
    <row r="43" spans="1:17" ht="26.25" customHeight="1" x14ac:dyDescent="0.2">
      <c r="A43" s="53" t="s">
        <v>93</v>
      </c>
      <c r="B43" s="51">
        <f>363440641.34</f>
        <v>363440641.33999997</v>
      </c>
      <c r="C43" s="51">
        <f>363440641.34</f>
        <v>363440641.33999997</v>
      </c>
      <c r="D43" s="51">
        <f>147774494.66</f>
        <v>147774494.66</v>
      </c>
      <c r="E43" s="51">
        <f>2125</f>
        <v>2125</v>
      </c>
      <c r="F43" s="51">
        <f>0</f>
        <v>0</v>
      </c>
      <c r="G43" s="51">
        <f>147772369.66</f>
        <v>147772369.66</v>
      </c>
      <c r="H43" s="51">
        <f>0</f>
        <v>0</v>
      </c>
      <c r="I43" s="51">
        <f>0</f>
        <v>0</v>
      </c>
      <c r="J43" s="51">
        <f>0</f>
        <v>0</v>
      </c>
      <c r="K43" s="51">
        <f>4560</f>
        <v>4560</v>
      </c>
      <c r="L43" s="51">
        <f>130048474.19</f>
        <v>130048474.19</v>
      </c>
      <c r="M43" s="51">
        <f>75127357.8</f>
        <v>75127357.799999997</v>
      </c>
      <c r="N43" s="51">
        <f>10485754.69</f>
        <v>10485754.689999999</v>
      </c>
      <c r="O43" s="51">
        <f>0</f>
        <v>0</v>
      </c>
      <c r="P43" s="51">
        <f>0</f>
        <v>0</v>
      </c>
      <c r="Q43" s="51">
        <f>0</f>
        <v>0</v>
      </c>
    </row>
    <row r="44" spans="1:17" ht="26.25" customHeight="1" x14ac:dyDescent="0.2">
      <c r="A44" s="47" t="s">
        <v>82</v>
      </c>
      <c r="B44" s="52">
        <f>45326821.44</f>
        <v>45326821.439999998</v>
      </c>
      <c r="C44" s="52">
        <f>45326821.44</f>
        <v>45326821.439999998</v>
      </c>
      <c r="D44" s="52">
        <f>13140810.89</f>
        <v>13140810.890000001</v>
      </c>
      <c r="E44" s="52">
        <f>2125</f>
        <v>2125</v>
      </c>
      <c r="F44" s="52">
        <f>0</f>
        <v>0</v>
      </c>
      <c r="G44" s="52">
        <f>13138685.89</f>
        <v>13138685.890000001</v>
      </c>
      <c r="H44" s="52">
        <f>0</f>
        <v>0</v>
      </c>
      <c r="I44" s="52">
        <f>0</f>
        <v>0</v>
      </c>
      <c r="J44" s="52">
        <f>0</f>
        <v>0</v>
      </c>
      <c r="K44" s="52">
        <f>4560</f>
        <v>4560</v>
      </c>
      <c r="L44" s="52">
        <f>13743843.79</f>
        <v>13743843.789999999</v>
      </c>
      <c r="M44" s="52">
        <f>17497606.76</f>
        <v>17497606.760000002</v>
      </c>
      <c r="N44" s="52">
        <f>940000</f>
        <v>940000</v>
      </c>
      <c r="O44" s="52">
        <f>0</f>
        <v>0</v>
      </c>
      <c r="P44" s="52">
        <f>0</f>
        <v>0</v>
      </c>
      <c r="Q44" s="52">
        <f>0</f>
        <v>0</v>
      </c>
    </row>
    <row r="45" spans="1:17" ht="26.25" customHeight="1" x14ac:dyDescent="0.2">
      <c r="A45" s="47" t="s">
        <v>83</v>
      </c>
      <c r="B45" s="52">
        <f>318113819.9</f>
        <v>318113819.89999998</v>
      </c>
      <c r="C45" s="52">
        <f>318113819.9</f>
        <v>318113819.89999998</v>
      </c>
      <c r="D45" s="52">
        <f>134633683.77</f>
        <v>134633683.77000001</v>
      </c>
      <c r="E45" s="52">
        <f>0</f>
        <v>0</v>
      </c>
      <c r="F45" s="52">
        <f>0</f>
        <v>0</v>
      </c>
      <c r="G45" s="52">
        <f>134633683.77</f>
        <v>134633683.77000001</v>
      </c>
      <c r="H45" s="52">
        <f>0</f>
        <v>0</v>
      </c>
      <c r="I45" s="52">
        <f>0</f>
        <v>0</v>
      </c>
      <c r="J45" s="52">
        <f>0</f>
        <v>0</v>
      </c>
      <c r="K45" s="52">
        <f>0</f>
        <v>0</v>
      </c>
      <c r="L45" s="52">
        <f>116304630.4</f>
        <v>116304630.40000001</v>
      </c>
      <c r="M45" s="52">
        <f>57629751.04</f>
        <v>57629751.039999999</v>
      </c>
      <c r="N45" s="52">
        <f>9545754.69</f>
        <v>9545754.6899999995</v>
      </c>
      <c r="O45" s="52">
        <f>0</f>
        <v>0</v>
      </c>
      <c r="P45" s="52">
        <f>0</f>
        <v>0</v>
      </c>
      <c r="Q45" s="52">
        <f>0</f>
        <v>0</v>
      </c>
    </row>
    <row r="46" spans="1:17" ht="26.25" customHeight="1" x14ac:dyDescent="0.2">
      <c r="A46" s="53" t="s">
        <v>94</v>
      </c>
      <c r="B46" s="51">
        <f>10691455100.43</f>
        <v>10691455100.43</v>
      </c>
      <c r="C46" s="51">
        <f>10691455100.43</f>
        <v>10691455100.43</v>
      </c>
      <c r="D46" s="51">
        <f>14859640.38</f>
        <v>14859640.380000001</v>
      </c>
      <c r="E46" s="51">
        <f>88598.34</f>
        <v>88598.34</v>
      </c>
      <c r="F46" s="51">
        <f>28291</f>
        <v>28291</v>
      </c>
      <c r="G46" s="51">
        <f>14742751.04</f>
        <v>14742751.039999999</v>
      </c>
      <c r="H46" s="51">
        <f>0</f>
        <v>0</v>
      </c>
      <c r="I46" s="51">
        <f>5678037.78</f>
        <v>5678037.7800000003</v>
      </c>
      <c r="J46" s="51">
        <f>10668766764.49</f>
        <v>10668766764.49</v>
      </c>
      <c r="K46" s="51">
        <f>50410.09</f>
        <v>50410.09</v>
      </c>
      <c r="L46" s="51">
        <f>2041971.03</f>
        <v>2041971.03</v>
      </c>
      <c r="M46" s="51">
        <f>58276.66</f>
        <v>58276.66</v>
      </c>
      <c r="N46" s="51">
        <f>0</f>
        <v>0</v>
      </c>
      <c r="O46" s="51">
        <f>0</f>
        <v>0</v>
      </c>
      <c r="P46" s="51">
        <f>0</f>
        <v>0</v>
      </c>
      <c r="Q46" s="51">
        <f>0</f>
        <v>0</v>
      </c>
    </row>
    <row r="47" spans="1:17" ht="26.25" customHeight="1" x14ac:dyDescent="0.2">
      <c r="A47" s="47" t="s">
        <v>84</v>
      </c>
      <c r="B47" s="52">
        <f>8166526.31</f>
        <v>8166526.3099999996</v>
      </c>
      <c r="C47" s="52">
        <f>8166526.31</f>
        <v>8166526.3099999996</v>
      </c>
      <c r="D47" s="52">
        <f>8166526.31</f>
        <v>8166526.3099999996</v>
      </c>
      <c r="E47" s="52">
        <f>0</f>
        <v>0</v>
      </c>
      <c r="F47" s="52">
        <f>0</f>
        <v>0</v>
      </c>
      <c r="G47" s="52">
        <f>8166526.31</f>
        <v>8166526.3099999996</v>
      </c>
      <c r="H47" s="52">
        <f>0</f>
        <v>0</v>
      </c>
      <c r="I47" s="52">
        <f>0</f>
        <v>0</v>
      </c>
      <c r="J47" s="52">
        <f>0</f>
        <v>0</v>
      </c>
      <c r="K47" s="52">
        <f>0</f>
        <v>0</v>
      </c>
      <c r="L47" s="52">
        <f>0</f>
        <v>0</v>
      </c>
      <c r="M47" s="52">
        <f>0</f>
        <v>0</v>
      </c>
      <c r="N47" s="52">
        <f>0</f>
        <v>0</v>
      </c>
      <c r="O47" s="52">
        <f>0</f>
        <v>0</v>
      </c>
      <c r="P47" s="52">
        <f>0</f>
        <v>0</v>
      </c>
      <c r="Q47" s="52">
        <f>0</f>
        <v>0</v>
      </c>
    </row>
    <row r="48" spans="1:17" ht="26.25" customHeight="1" x14ac:dyDescent="0.2">
      <c r="A48" s="47" t="s">
        <v>85</v>
      </c>
      <c r="B48" s="52">
        <f>4515521830.76</f>
        <v>4515521830.7600002</v>
      </c>
      <c r="C48" s="52">
        <f>4515521830.76</f>
        <v>4515521830.7600002</v>
      </c>
      <c r="D48" s="52">
        <f>6527271.68</f>
        <v>6527271.6799999997</v>
      </c>
      <c r="E48" s="52">
        <f>14000</f>
        <v>14000</v>
      </c>
      <c r="F48" s="52">
        <f>0</f>
        <v>0</v>
      </c>
      <c r="G48" s="52">
        <f>6513271.68</f>
        <v>6513271.6799999997</v>
      </c>
      <c r="H48" s="52">
        <f>0</f>
        <v>0</v>
      </c>
      <c r="I48" s="52">
        <f>5594253.25</f>
        <v>5594253.25</v>
      </c>
      <c r="J48" s="52">
        <f>4502546326.53</f>
        <v>4502546326.5299997</v>
      </c>
      <c r="K48" s="52">
        <f>50410.09</f>
        <v>50410.09</v>
      </c>
      <c r="L48" s="52">
        <f>803323.21</f>
        <v>803323.21</v>
      </c>
      <c r="M48" s="52">
        <f>246</f>
        <v>246</v>
      </c>
      <c r="N48" s="52">
        <f>0</f>
        <v>0</v>
      </c>
      <c r="O48" s="52">
        <f>0</f>
        <v>0</v>
      </c>
      <c r="P48" s="52">
        <f>0</f>
        <v>0</v>
      </c>
      <c r="Q48" s="52">
        <f>0</f>
        <v>0</v>
      </c>
    </row>
    <row r="49" spans="1:17" ht="26.25" customHeight="1" x14ac:dyDescent="0.2">
      <c r="A49" s="47" t="s">
        <v>86</v>
      </c>
      <c r="B49" s="52">
        <f>6167766743.36</f>
        <v>6167766743.3599997</v>
      </c>
      <c r="C49" s="52">
        <f>6167766743.36</f>
        <v>6167766743.3599997</v>
      </c>
      <c r="D49" s="52">
        <f>165842.39</f>
        <v>165842.39000000001</v>
      </c>
      <c r="E49" s="52">
        <f>74598.34</f>
        <v>74598.34</v>
      </c>
      <c r="F49" s="52">
        <f>28291</f>
        <v>28291</v>
      </c>
      <c r="G49" s="52">
        <f>62953.05</f>
        <v>62953.05</v>
      </c>
      <c r="H49" s="52">
        <f>0</f>
        <v>0</v>
      </c>
      <c r="I49" s="52">
        <f>83784.53</f>
        <v>83784.53</v>
      </c>
      <c r="J49" s="52">
        <f>6166220437.96</f>
        <v>6166220437.96</v>
      </c>
      <c r="K49" s="52">
        <f>0</f>
        <v>0</v>
      </c>
      <c r="L49" s="52">
        <f>1238647.82</f>
        <v>1238647.82</v>
      </c>
      <c r="M49" s="52">
        <f>58030.66</f>
        <v>58030.66</v>
      </c>
      <c r="N49" s="52">
        <f>0</f>
        <v>0</v>
      </c>
      <c r="O49" s="52">
        <f>0</f>
        <v>0</v>
      </c>
      <c r="P49" s="52">
        <f>0</f>
        <v>0</v>
      </c>
      <c r="Q49" s="52">
        <f>0</f>
        <v>0</v>
      </c>
    </row>
    <row r="50" spans="1:17" ht="26.25" customHeight="1" x14ac:dyDescent="0.2">
      <c r="A50" s="53" t="s">
        <v>95</v>
      </c>
      <c r="B50" s="51">
        <f>12508426429.31</f>
        <v>12508426429.309999</v>
      </c>
      <c r="C50" s="51">
        <f>12482681893.81</f>
        <v>12482681893.809999</v>
      </c>
      <c r="D50" s="51">
        <f>397400683.06</f>
        <v>397400683.06</v>
      </c>
      <c r="E50" s="51">
        <f>60545349.71</f>
        <v>60545349.710000001</v>
      </c>
      <c r="F50" s="51">
        <f>15521858.57</f>
        <v>15521858.57</v>
      </c>
      <c r="G50" s="51">
        <f>319584213.16</f>
        <v>319584213.16000003</v>
      </c>
      <c r="H50" s="51">
        <f>1749261.62</f>
        <v>1749261.62</v>
      </c>
      <c r="I50" s="51">
        <f>6155.11</f>
        <v>6155.11</v>
      </c>
      <c r="J50" s="51">
        <f>286710.94</f>
        <v>286710.94</v>
      </c>
      <c r="K50" s="51">
        <f>24278539.9</f>
        <v>24278539.899999999</v>
      </c>
      <c r="L50" s="51">
        <f>2730538335.13</f>
        <v>2730538335.1300001</v>
      </c>
      <c r="M50" s="51">
        <f>9250002500.22</f>
        <v>9250002500.2199993</v>
      </c>
      <c r="N50" s="51">
        <f>80168969.45</f>
        <v>80168969.450000003</v>
      </c>
      <c r="O50" s="51">
        <f>25744535.5</f>
        <v>25744535.5</v>
      </c>
      <c r="P50" s="51">
        <f>13832642.91</f>
        <v>13832642.91</v>
      </c>
      <c r="Q50" s="51">
        <f>11911892.59</f>
        <v>11911892.59</v>
      </c>
    </row>
    <row r="51" spans="1:17" ht="26.25" customHeight="1" x14ac:dyDescent="0.2">
      <c r="A51" s="47" t="s">
        <v>87</v>
      </c>
      <c r="B51" s="52">
        <f>5192219417.91</f>
        <v>5192219417.9099998</v>
      </c>
      <c r="C51" s="52">
        <f>5189464015.59</f>
        <v>5189464015.5900002</v>
      </c>
      <c r="D51" s="52">
        <f>69100009.47</f>
        <v>69100009.469999999</v>
      </c>
      <c r="E51" s="52">
        <f>1115759.06</f>
        <v>1115759.06</v>
      </c>
      <c r="F51" s="52">
        <f>2580372.56</f>
        <v>2580372.56</v>
      </c>
      <c r="G51" s="52">
        <f>65094017</f>
        <v>65094017</v>
      </c>
      <c r="H51" s="52">
        <f>309860.85</f>
        <v>309860.84999999998</v>
      </c>
      <c r="I51" s="52">
        <f>4399.7</f>
        <v>4399.7</v>
      </c>
      <c r="J51" s="52">
        <f>146914.65</f>
        <v>146914.65</v>
      </c>
      <c r="K51" s="52">
        <f>10923512.13</f>
        <v>10923512.130000001</v>
      </c>
      <c r="L51" s="52">
        <f>708968956.44</f>
        <v>708968956.44000006</v>
      </c>
      <c r="M51" s="52">
        <f>4353906290.48</f>
        <v>4353906290.4799995</v>
      </c>
      <c r="N51" s="52">
        <f>46413932.72</f>
        <v>46413932.719999999</v>
      </c>
      <c r="O51" s="52">
        <f>2755402.32</f>
        <v>2755402.32</v>
      </c>
      <c r="P51" s="52">
        <f>793522.24</f>
        <v>793522.24</v>
      </c>
      <c r="Q51" s="52">
        <f>1961880.08</f>
        <v>1961880.08</v>
      </c>
    </row>
    <row r="52" spans="1:17" ht="26.25" customHeight="1" x14ac:dyDescent="0.2">
      <c r="A52" s="47" t="s">
        <v>88</v>
      </c>
      <c r="B52" s="52">
        <f>7316207011.4</f>
        <v>7316207011.3999996</v>
      </c>
      <c r="C52" s="52">
        <f>7293217878.22</f>
        <v>7293217878.2200003</v>
      </c>
      <c r="D52" s="52">
        <f>328300673.59</f>
        <v>328300673.58999997</v>
      </c>
      <c r="E52" s="52">
        <f>59429590.65</f>
        <v>59429590.649999999</v>
      </c>
      <c r="F52" s="52">
        <f>12941486.01</f>
        <v>12941486.01</v>
      </c>
      <c r="G52" s="52">
        <f>254490196.16</f>
        <v>254490196.16</v>
      </c>
      <c r="H52" s="52">
        <f>1439400.77</f>
        <v>1439400.77</v>
      </c>
      <c r="I52" s="52">
        <f>1755.41</f>
        <v>1755.41</v>
      </c>
      <c r="J52" s="52">
        <f>139796.29</f>
        <v>139796.29</v>
      </c>
      <c r="K52" s="52">
        <f>13355027.77</f>
        <v>13355027.77</v>
      </c>
      <c r="L52" s="52">
        <f>2021569378.69</f>
        <v>2021569378.6900001</v>
      </c>
      <c r="M52" s="52">
        <f>4896096209.74</f>
        <v>4896096209.7399998</v>
      </c>
      <c r="N52" s="52">
        <f>33755036.73</f>
        <v>33755036.729999997</v>
      </c>
      <c r="O52" s="52">
        <f>22989133.18</f>
        <v>22989133.18</v>
      </c>
      <c r="P52" s="52">
        <f>13039120.67</f>
        <v>13039120.67</v>
      </c>
      <c r="Q52" s="52">
        <f>9950012.51</f>
        <v>9950012.5099999998</v>
      </c>
    </row>
    <row r="53" spans="1:17" ht="26.25" customHeight="1" x14ac:dyDescent="0.2">
      <c r="A53" s="53" t="s">
        <v>96</v>
      </c>
      <c r="B53" s="51">
        <f>10584266036.18</f>
        <v>10584266036.18</v>
      </c>
      <c r="C53" s="51">
        <f>10557007562.27</f>
        <v>10557007562.27</v>
      </c>
      <c r="D53" s="51">
        <f>914201988.72</f>
        <v>914201988.72000003</v>
      </c>
      <c r="E53" s="51">
        <f>327927889.19</f>
        <v>327927889.19</v>
      </c>
      <c r="F53" s="51">
        <f>69442224.21</f>
        <v>69442224.209999993</v>
      </c>
      <c r="G53" s="51">
        <f>491278178.33</f>
        <v>491278178.32999998</v>
      </c>
      <c r="H53" s="51">
        <f>25553696.99</f>
        <v>25553696.989999998</v>
      </c>
      <c r="I53" s="51">
        <f>2531484.53</f>
        <v>2531484.5299999998</v>
      </c>
      <c r="J53" s="51">
        <f>15687743.87</f>
        <v>15687743.869999999</v>
      </c>
      <c r="K53" s="51">
        <f>43505240.67</f>
        <v>43505240.670000002</v>
      </c>
      <c r="L53" s="51">
        <f>6768819303.16</f>
        <v>6768819303.1599998</v>
      </c>
      <c r="M53" s="51">
        <f>2573375927.68</f>
        <v>2573375927.6799998</v>
      </c>
      <c r="N53" s="51">
        <f>238885873.64</f>
        <v>238885873.63999999</v>
      </c>
      <c r="O53" s="51">
        <f>27258473.91</f>
        <v>27258473.91</v>
      </c>
      <c r="P53" s="51">
        <f>16913369.83</f>
        <v>16913369.829999998</v>
      </c>
      <c r="Q53" s="51">
        <f>10345104.08</f>
        <v>10345104.08</v>
      </c>
    </row>
    <row r="54" spans="1:17" ht="26.25" customHeight="1" x14ac:dyDescent="0.2">
      <c r="A54" s="47" t="s">
        <v>89</v>
      </c>
      <c r="B54" s="52">
        <f>795702212.65</f>
        <v>795702212.64999998</v>
      </c>
      <c r="C54" s="52">
        <f>794830847.08</f>
        <v>794830847.08000004</v>
      </c>
      <c r="D54" s="52">
        <f>45659375.19</f>
        <v>45659375.189999998</v>
      </c>
      <c r="E54" s="52">
        <f>2159632.94</f>
        <v>2159632.94</v>
      </c>
      <c r="F54" s="52">
        <f>811606.1</f>
        <v>811606.1</v>
      </c>
      <c r="G54" s="52">
        <f>40998392.58</f>
        <v>40998392.579999998</v>
      </c>
      <c r="H54" s="52">
        <f>1689743.57</f>
        <v>1689743.57</v>
      </c>
      <c r="I54" s="52">
        <f>0</f>
        <v>0</v>
      </c>
      <c r="J54" s="52">
        <f>206095.27</f>
        <v>206095.27</v>
      </c>
      <c r="K54" s="52">
        <f>735542.17</f>
        <v>735542.17</v>
      </c>
      <c r="L54" s="52">
        <f>348127085.96</f>
        <v>348127085.95999998</v>
      </c>
      <c r="M54" s="52">
        <f>390919897.77</f>
        <v>390919897.76999998</v>
      </c>
      <c r="N54" s="52">
        <f>9182850.72</f>
        <v>9182850.7200000007</v>
      </c>
      <c r="O54" s="52">
        <f>871365.57</f>
        <v>871365.57</v>
      </c>
      <c r="P54" s="52">
        <f>110637.99</f>
        <v>110637.99</v>
      </c>
      <c r="Q54" s="52">
        <f>760727.58</f>
        <v>760727.58</v>
      </c>
    </row>
    <row r="55" spans="1:17" ht="36.75" customHeight="1" x14ac:dyDescent="0.2">
      <c r="A55" s="47" t="s">
        <v>90</v>
      </c>
      <c r="B55" s="52">
        <f>6127193862.02</f>
        <v>6127193862.0200005</v>
      </c>
      <c r="C55" s="52">
        <f>6109783039.4</f>
        <v>6109783039.3999996</v>
      </c>
      <c r="D55" s="52">
        <f>355263382.58</f>
        <v>355263382.57999998</v>
      </c>
      <c r="E55" s="52">
        <f>76472274.65</f>
        <v>76472274.650000006</v>
      </c>
      <c r="F55" s="52">
        <f>52502959.15</f>
        <v>52502959.149999999</v>
      </c>
      <c r="G55" s="52">
        <f>205565510.14</f>
        <v>205565510.13999999</v>
      </c>
      <c r="H55" s="52">
        <f>20722638.64</f>
        <v>20722638.640000001</v>
      </c>
      <c r="I55" s="52">
        <f>2447241.06</f>
        <v>2447241.06</v>
      </c>
      <c r="J55" s="52">
        <f>14869648.13</f>
        <v>14869648.130000001</v>
      </c>
      <c r="K55" s="52">
        <f>39233869.16</f>
        <v>39233869.159999996</v>
      </c>
      <c r="L55" s="52">
        <f>4690472103.22</f>
        <v>4690472103.2200003</v>
      </c>
      <c r="M55" s="52">
        <f>967648013.27</f>
        <v>967648013.26999998</v>
      </c>
      <c r="N55" s="52">
        <f>39848781.98</f>
        <v>39848781.979999997</v>
      </c>
      <c r="O55" s="52">
        <f>17410822.62</f>
        <v>17410822.620000001</v>
      </c>
      <c r="P55" s="52">
        <f>15563852.98</f>
        <v>15563852.98</v>
      </c>
      <c r="Q55" s="52">
        <f>1846969.64</f>
        <v>1846969.64</v>
      </c>
    </row>
    <row r="56" spans="1:17" ht="26.25" customHeight="1" x14ac:dyDescent="0.2">
      <c r="A56" s="47" t="s">
        <v>91</v>
      </c>
      <c r="B56" s="52">
        <f>3661369961.51</f>
        <v>3661369961.5100002</v>
      </c>
      <c r="C56" s="52">
        <f>3652393675.79</f>
        <v>3652393675.79</v>
      </c>
      <c r="D56" s="52">
        <f>513279230.95</f>
        <v>513279230.94999999</v>
      </c>
      <c r="E56" s="52">
        <f>249295981.6</f>
        <v>249295981.59999999</v>
      </c>
      <c r="F56" s="52">
        <f>16127658.96</f>
        <v>16127658.960000001</v>
      </c>
      <c r="G56" s="52">
        <f>244714275.61</f>
        <v>244714275.61000001</v>
      </c>
      <c r="H56" s="52">
        <f>3141314.78</f>
        <v>3141314.78</v>
      </c>
      <c r="I56" s="52">
        <f>84243.47</f>
        <v>84243.47</v>
      </c>
      <c r="J56" s="52">
        <f>612000.47</f>
        <v>612000.47</v>
      </c>
      <c r="K56" s="52">
        <f>3535829.34</f>
        <v>3535829.34</v>
      </c>
      <c r="L56" s="52">
        <f>1730220113.98</f>
        <v>1730220113.98</v>
      </c>
      <c r="M56" s="52">
        <f>1214808016.64</f>
        <v>1214808016.6400001</v>
      </c>
      <c r="N56" s="52">
        <f>189854240.94</f>
        <v>189854240.94</v>
      </c>
      <c r="O56" s="52">
        <f>8976285.72</f>
        <v>8976285.7200000007</v>
      </c>
      <c r="P56" s="52">
        <f>1238878.86</f>
        <v>1238878.8600000001</v>
      </c>
      <c r="Q56" s="52">
        <f>7737406.86</f>
        <v>7737406.8600000003</v>
      </c>
    </row>
    <row r="66" spans="1:13" ht="75" customHeight="1" x14ac:dyDescent="0.2">
      <c r="A66" s="67" t="str">
        <f>CONCATENATE("Informacja z wykonania budżetów miast na prawach powiatu za  ",$C$93," ",$B$94," roku     ",$B$96,"")</f>
        <v xml:space="preserve">Informacja z wykonania budżetów miast na prawach powiatu za  II Kwartały 2023 roku     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3.5" customHeight="1" x14ac:dyDescent="0.2">
      <c r="B67" s="77" t="s">
        <v>5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9" spans="1:13" ht="13.5" customHeight="1" x14ac:dyDescent="0.2">
      <c r="B69" s="78" t="s">
        <v>0</v>
      </c>
      <c r="C69" s="79"/>
      <c r="D69" s="79"/>
      <c r="E69" s="80"/>
      <c r="F69" s="99" t="s">
        <v>143</v>
      </c>
      <c r="G69" s="59" t="s">
        <v>142</v>
      </c>
      <c r="H69" s="60"/>
      <c r="I69" s="60"/>
      <c r="J69" s="60"/>
      <c r="K69" s="60"/>
      <c r="L69" s="61"/>
    </row>
    <row r="70" spans="1:13" ht="13.5" customHeight="1" x14ac:dyDescent="0.2">
      <c r="B70" s="81"/>
      <c r="C70" s="82"/>
      <c r="D70" s="82"/>
      <c r="E70" s="83"/>
      <c r="F70" s="100"/>
      <c r="G70" s="102" t="s">
        <v>144</v>
      </c>
      <c r="H70" s="55" t="s">
        <v>140</v>
      </c>
      <c r="I70" s="55" t="s">
        <v>141</v>
      </c>
      <c r="J70" s="55" t="s">
        <v>145</v>
      </c>
      <c r="K70" s="55" t="s">
        <v>146</v>
      </c>
      <c r="L70" s="62" t="s">
        <v>147</v>
      </c>
    </row>
    <row r="71" spans="1:13" ht="13.5" customHeight="1" x14ac:dyDescent="0.2">
      <c r="B71" s="81"/>
      <c r="C71" s="82"/>
      <c r="D71" s="82"/>
      <c r="E71" s="83"/>
      <c r="F71" s="100"/>
      <c r="G71" s="102"/>
      <c r="H71" s="55"/>
      <c r="I71" s="55"/>
      <c r="J71" s="55"/>
      <c r="K71" s="55"/>
      <c r="L71" s="62"/>
    </row>
    <row r="72" spans="1:13" ht="11.25" customHeight="1" x14ac:dyDescent="0.2">
      <c r="B72" s="81"/>
      <c r="C72" s="82"/>
      <c r="D72" s="82"/>
      <c r="E72" s="83"/>
      <c r="F72" s="100"/>
      <c r="G72" s="102"/>
      <c r="H72" s="55"/>
      <c r="I72" s="55"/>
      <c r="J72" s="55"/>
      <c r="K72" s="55"/>
      <c r="L72" s="62"/>
    </row>
    <row r="73" spans="1:13" ht="11.25" customHeight="1" x14ac:dyDescent="0.2">
      <c r="B73" s="84"/>
      <c r="C73" s="85"/>
      <c r="D73" s="85"/>
      <c r="E73" s="86"/>
      <c r="F73" s="101"/>
      <c r="G73" s="102"/>
      <c r="H73" s="55"/>
      <c r="I73" s="55"/>
      <c r="J73" s="55"/>
      <c r="K73" s="55"/>
      <c r="L73" s="62"/>
    </row>
    <row r="74" spans="1:13" ht="11.25" customHeight="1" x14ac:dyDescent="0.2">
      <c r="B74" s="55">
        <v>1</v>
      </c>
      <c r="C74" s="55"/>
      <c r="D74" s="55"/>
      <c r="E74" s="55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40">
        <v>8</v>
      </c>
    </row>
    <row r="75" spans="1:13" ht="11.25" customHeight="1" x14ac:dyDescent="0.2">
      <c r="B75" s="54"/>
      <c r="C75" s="54"/>
      <c r="D75" s="54"/>
      <c r="E75" s="54"/>
      <c r="F75" s="55" t="s">
        <v>150</v>
      </c>
      <c r="G75" s="55"/>
      <c r="H75" s="55"/>
      <c r="I75" s="55"/>
      <c r="J75" s="55"/>
      <c r="K75" s="55"/>
      <c r="L75" s="55"/>
    </row>
    <row r="76" spans="1:13" ht="47.25" customHeight="1" x14ac:dyDescent="0.2">
      <c r="B76" s="72" t="s">
        <v>121</v>
      </c>
      <c r="C76" s="73"/>
      <c r="D76" s="73"/>
      <c r="E76" s="74"/>
      <c r="F76" s="50">
        <f>1669364749.8</f>
        <v>1669364749.8</v>
      </c>
      <c r="G76" s="50">
        <f>205734303.49</f>
        <v>205734303.49000001</v>
      </c>
      <c r="H76" s="50">
        <f>19115200</f>
        <v>19115200</v>
      </c>
      <c r="I76" s="50">
        <f>84918251</f>
        <v>84918251</v>
      </c>
      <c r="J76" s="50">
        <f>101700852.49</f>
        <v>101700852.48999999</v>
      </c>
      <c r="K76" s="50">
        <f>0</f>
        <v>0</v>
      </c>
      <c r="L76" s="50">
        <f>1463630446.31</f>
        <v>1463630446.3099999</v>
      </c>
    </row>
    <row r="77" spans="1:13" ht="47.25" customHeight="1" x14ac:dyDescent="0.2">
      <c r="B77" s="72" t="s">
        <v>122</v>
      </c>
      <c r="C77" s="73"/>
      <c r="D77" s="73"/>
      <c r="E77" s="74"/>
      <c r="F77" s="50">
        <f>0</f>
        <v>0</v>
      </c>
      <c r="G77" s="50">
        <f>0</f>
        <v>0</v>
      </c>
      <c r="H77" s="50">
        <f>0</f>
        <v>0</v>
      </c>
      <c r="I77" s="50">
        <f>0</f>
        <v>0</v>
      </c>
      <c r="J77" s="50">
        <f>0</f>
        <v>0</v>
      </c>
      <c r="K77" s="50">
        <f>0</f>
        <v>0</v>
      </c>
      <c r="L77" s="50">
        <f>0</f>
        <v>0</v>
      </c>
    </row>
    <row r="78" spans="1:13" ht="47.25" customHeight="1" x14ac:dyDescent="0.2">
      <c r="B78" s="72" t="s">
        <v>123</v>
      </c>
      <c r="C78" s="73"/>
      <c r="D78" s="73"/>
      <c r="E78" s="74"/>
      <c r="F78" s="50">
        <f>27625956.24</f>
        <v>27625956.239999998</v>
      </c>
      <c r="G78" s="50">
        <f>20000000</f>
        <v>20000000</v>
      </c>
      <c r="H78" s="50">
        <f>0</f>
        <v>0</v>
      </c>
      <c r="I78" s="50">
        <f>0</f>
        <v>0</v>
      </c>
      <c r="J78" s="50">
        <f>20000000</f>
        <v>20000000</v>
      </c>
      <c r="K78" s="50">
        <f>0</f>
        <v>0</v>
      </c>
      <c r="L78" s="50">
        <f>7625956.24</f>
        <v>7625956.2400000002</v>
      </c>
    </row>
    <row r="79" spans="1:13" ht="47.25" customHeight="1" x14ac:dyDescent="0.2">
      <c r="B79" s="72" t="s">
        <v>124</v>
      </c>
      <c r="C79" s="73"/>
      <c r="D79" s="73"/>
      <c r="E79" s="74"/>
      <c r="F79" s="50">
        <f>18522229.21</f>
        <v>18522229.210000001</v>
      </c>
      <c r="G79" s="50">
        <f>18000012.21</f>
        <v>18000012.210000001</v>
      </c>
      <c r="H79" s="50">
        <f>0</f>
        <v>0</v>
      </c>
      <c r="I79" s="50">
        <f>0</f>
        <v>0</v>
      </c>
      <c r="J79" s="50">
        <f>18000012.21</f>
        <v>18000012.210000001</v>
      </c>
      <c r="K79" s="50">
        <f>0</f>
        <v>0</v>
      </c>
      <c r="L79" s="50">
        <f>522217</f>
        <v>522217</v>
      </c>
    </row>
    <row r="80" spans="1:13" ht="47.25" customHeight="1" x14ac:dyDescent="0.2">
      <c r="B80" s="72" t="s">
        <v>125</v>
      </c>
      <c r="C80" s="73"/>
      <c r="D80" s="73"/>
      <c r="E80" s="74"/>
      <c r="F80" s="50">
        <f>5673257.58</f>
        <v>5673257.5800000001</v>
      </c>
      <c r="G80" s="50">
        <f>5673257.58</f>
        <v>5673257.5800000001</v>
      </c>
      <c r="H80" s="50">
        <f>0</f>
        <v>0</v>
      </c>
      <c r="I80" s="50">
        <f>0</f>
        <v>0</v>
      </c>
      <c r="J80" s="50">
        <f>5673257.58</f>
        <v>5673257.5800000001</v>
      </c>
      <c r="K80" s="50">
        <f>0</f>
        <v>0</v>
      </c>
      <c r="L80" s="50">
        <f>0</f>
        <v>0</v>
      </c>
    </row>
    <row r="81" spans="1:13" ht="47.25" customHeight="1" x14ac:dyDescent="0.2">
      <c r="B81" s="72" t="s">
        <v>126</v>
      </c>
      <c r="C81" s="73"/>
      <c r="D81" s="73"/>
      <c r="E81" s="74"/>
      <c r="F81" s="50">
        <f>3721669.94</f>
        <v>3721669.94</v>
      </c>
      <c r="G81" s="50">
        <f>3721669.94</f>
        <v>3721669.94</v>
      </c>
      <c r="H81" s="50">
        <f>0</f>
        <v>0</v>
      </c>
      <c r="I81" s="50">
        <f>0</f>
        <v>0</v>
      </c>
      <c r="J81" s="50">
        <f>3721669.94</f>
        <v>3721669.94</v>
      </c>
      <c r="K81" s="50">
        <f>0</f>
        <v>0</v>
      </c>
      <c r="L81" s="50">
        <f>0</f>
        <v>0</v>
      </c>
    </row>
    <row r="82" spans="1:13" ht="47.25" customHeight="1" x14ac:dyDescent="0.2">
      <c r="B82" s="72" t="s">
        <v>127</v>
      </c>
      <c r="C82" s="73"/>
      <c r="D82" s="73"/>
      <c r="E82" s="74"/>
      <c r="F82" s="50">
        <f>0</f>
        <v>0</v>
      </c>
      <c r="G82" s="50">
        <f>0</f>
        <v>0</v>
      </c>
      <c r="H82" s="50">
        <f>0</f>
        <v>0</v>
      </c>
      <c r="I82" s="50">
        <f>0</f>
        <v>0</v>
      </c>
      <c r="J82" s="50">
        <f>0</f>
        <v>0</v>
      </c>
      <c r="K82" s="50">
        <f>0</f>
        <v>0</v>
      </c>
      <c r="L82" s="50">
        <f>0</f>
        <v>0</v>
      </c>
    </row>
    <row r="85" spans="1:13" ht="75" customHeight="1" x14ac:dyDescent="0.2">
      <c r="A85" s="67" t="str">
        <f>CONCATENATE("Informacja z wykonania budżetów miast na prawach powiatu za  ",$C$93," ",$B$94," roku     ",$B$96,"")</f>
        <v xml:space="preserve">Informacja z wykonania budżetów miast na prawach powiatu za  II Kwartały 2023 roku     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</row>
    <row r="86" spans="1:13" ht="13.5" customHeight="1" x14ac:dyDescent="0.2">
      <c r="B86" s="9"/>
    </row>
    <row r="87" spans="1:13" ht="13.5" customHeight="1" x14ac:dyDescent="0.2">
      <c r="B87" s="10"/>
      <c r="C87" s="59"/>
      <c r="D87" s="60"/>
      <c r="E87" s="60"/>
      <c r="F87" s="61"/>
      <c r="G87" s="59" t="s">
        <v>7</v>
      </c>
      <c r="H87" s="61"/>
      <c r="I87" s="59" t="s">
        <v>8</v>
      </c>
      <c r="J87" s="61"/>
      <c r="K87" s="10"/>
    </row>
    <row r="88" spans="1:13" ht="13.5" customHeight="1" x14ac:dyDescent="0.2">
      <c r="B88" s="11"/>
      <c r="C88" s="72" t="s">
        <v>23</v>
      </c>
      <c r="D88" s="73"/>
      <c r="E88" s="73"/>
      <c r="F88" s="74"/>
      <c r="G88" s="90">
        <f>35</f>
        <v>35</v>
      </c>
      <c r="H88" s="91"/>
      <c r="I88" s="75">
        <f>1430604421.29</f>
        <v>1430604421.29</v>
      </c>
      <c r="J88" s="76"/>
      <c r="K88" s="12"/>
    </row>
    <row r="89" spans="1:13" ht="13.5" customHeight="1" x14ac:dyDescent="0.2">
      <c r="B89" s="11"/>
      <c r="C89" s="87" t="s">
        <v>24</v>
      </c>
      <c r="D89" s="88"/>
      <c r="E89" s="88"/>
      <c r="F89" s="89"/>
      <c r="G89" s="92">
        <f>31</f>
        <v>31</v>
      </c>
      <c r="H89" s="93"/>
      <c r="I89" s="94">
        <f>-1423751353.15</f>
        <v>-1423751353.1500001</v>
      </c>
      <c r="J89" s="95"/>
      <c r="K89" s="12"/>
    </row>
    <row r="90" spans="1:13" ht="13.5" customHeight="1" x14ac:dyDescent="0.2">
      <c r="B90" s="11"/>
      <c r="C90" s="72" t="s">
        <v>25</v>
      </c>
      <c r="D90" s="73"/>
      <c r="E90" s="73"/>
      <c r="F90" s="74"/>
      <c r="G90" s="90">
        <f>0</f>
        <v>0</v>
      </c>
      <c r="H90" s="91"/>
      <c r="I90" s="75">
        <f>0</f>
        <v>0</v>
      </c>
      <c r="J90" s="76"/>
      <c r="K90" s="12"/>
    </row>
    <row r="93" spans="1:13" ht="13.5" customHeight="1" x14ac:dyDescent="0.2">
      <c r="A93" s="15" t="s">
        <v>26</v>
      </c>
      <c r="B93" s="15">
        <f>2</f>
        <v>2</v>
      </c>
      <c r="C93" s="15" t="str">
        <f>IF(B93=1,"I Kwartał",IF(B93=2,"II Kwartały",IF(B93=3,"III Kwartały",IF(B93=4,"IV Kwartały","-"))))</f>
        <v>II Kwartały</v>
      </c>
    </row>
    <row r="94" spans="1:13" ht="13.5" customHeight="1" x14ac:dyDescent="0.2">
      <c r="A94" s="15" t="s">
        <v>27</v>
      </c>
      <c r="B94" s="15">
        <f>2023</f>
        <v>2023</v>
      </c>
      <c r="C94" s="16"/>
    </row>
    <row r="95" spans="1:13" ht="13.5" customHeight="1" x14ac:dyDescent="0.2">
      <c r="A95" s="15" t="s">
        <v>28</v>
      </c>
      <c r="B95" s="17" t="str">
        <f>"Aug 14 2023 12:00AM"</f>
        <v>Aug 14 2023 12:00AM</v>
      </c>
      <c r="C95" s="16"/>
    </row>
    <row r="96" spans="1:13" ht="13.5" customHeight="1" x14ac:dyDescent="0.2">
      <c r="A96" s="43" t="s">
        <v>149</v>
      </c>
      <c r="B96" s="17" t="str">
        <f>""</f>
        <v/>
      </c>
    </row>
  </sheetData>
  <mergeCells count="79"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A1:M1"/>
    <mergeCell ref="C5:M5"/>
    <mergeCell ref="A3:M3"/>
    <mergeCell ref="K7:K10"/>
    <mergeCell ref="C7:C10"/>
    <mergeCell ref="B6:B10"/>
    <mergeCell ref="F69:F73"/>
    <mergeCell ref="G70:G73"/>
    <mergeCell ref="G7:G10"/>
    <mergeCell ref="F7:F10"/>
    <mergeCell ref="I7:I10"/>
    <mergeCell ref="J7:J10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Q35:Q37"/>
    <mergeCell ref="N35:N37"/>
    <mergeCell ref="O35:O37"/>
    <mergeCell ref="D35:D37"/>
    <mergeCell ref="H7:H10"/>
    <mergeCell ref="B81:E81"/>
    <mergeCell ref="G69:L69"/>
    <mergeCell ref="H70:H73"/>
    <mergeCell ref="I70:I73"/>
    <mergeCell ref="J70:J73"/>
    <mergeCell ref="B75:E75"/>
    <mergeCell ref="F75:L75"/>
    <mergeCell ref="B12:Q12"/>
    <mergeCell ref="B39:Q39"/>
    <mergeCell ref="L70:L73"/>
    <mergeCell ref="O6:Q6"/>
    <mergeCell ref="O7:O10"/>
    <mergeCell ref="A66:M66"/>
    <mergeCell ref="L35:L37"/>
    <mergeCell ref="P35:P37"/>
  </mergeCells>
  <phoneticPr fontId="5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106"/>
  <sheetViews>
    <sheetView workbookViewId="0">
      <selection activeCell="A66" sqref="A66"/>
    </sheetView>
  </sheetViews>
  <sheetFormatPr defaultRowHeight="13.5" customHeight="1" x14ac:dyDescent="0.2"/>
  <cols>
    <col min="1" max="1" width="32.28515625" style="2" customWidth="1"/>
    <col min="2" max="13" width="10.7109375" style="2" customWidth="1"/>
    <col min="14" max="16384" width="9.140625" style="2"/>
  </cols>
  <sheetData>
    <row r="1" spans="1:17" ht="75" customHeight="1" x14ac:dyDescent="0.2">
      <c r="A1" s="129" t="str">
        <f>CONCATENATE("Informacja z wykonania budżetów miast na prawach powiatu za ",$D$104," ",$C$105," roku")</f>
        <v>Informacja z wykonania budżetów miast na prawach powiatu za - 2023 roku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77" t="s">
        <v>134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5" spans="1:17" ht="13.5" customHeight="1" x14ac:dyDescent="0.2">
      <c r="A5" s="134" t="s">
        <v>0</v>
      </c>
      <c r="B5" s="59" t="s">
        <v>135</v>
      </c>
      <c r="C5" s="55" t="s">
        <v>139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9" t="s">
        <v>138</v>
      </c>
      <c r="P5" s="60"/>
      <c r="Q5" s="61"/>
    </row>
    <row r="6" spans="1:17" ht="13.5" customHeight="1" x14ac:dyDescent="0.2">
      <c r="A6" s="134"/>
      <c r="B6" s="59"/>
      <c r="C6" s="55" t="s">
        <v>136</v>
      </c>
      <c r="D6" s="55" t="s">
        <v>3</v>
      </c>
      <c r="E6" s="55" t="s">
        <v>140</v>
      </c>
      <c r="F6" s="55" t="s">
        <v>141</v>
      </c>
      <c r="G6" s="55" t="s">
        <v>76</v>
      </c>
      <c r="H6" s="55" t="s">
        <v>77</v>
      </c>
      <c r="I6" s="55" t="s">
        <v>137</v>
      </c>
      <c r="J6" s="55" t="s">
        <v>59</v>
      </c>
      <c r="K6" s="55" t="s">
        <v>60</v>
      </c>
      <c r="L6" s="55" t="s">
        <v>61</v>
      </c>
      <c r="M6" s="55" t="s">
        <v>62</v>
      </c>
      <c r="N6" s="149" t="s">
        <v>63</v>
      </c>
      <c r="O6" s="99" t="s">
        <v>64</v>
      </c>
      <c r="P6" s="146" t="s">
        <v>65</v>
      </c>
      <c r="Q6" s="111" t="s">
        <v>66</v>
      </c>
    </row>
    <row r="7" spans="1:17" ht="13.5" customHeight="1" x14ac:dyDescent="0.2">
      <c r="A7" s="134"/>
      <c r="B7" s="59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49"/>
      <c r="O7" s="100"/>
      <c r="P7" s="147"/>
      <c r="Q7" s="112"/>
    </row>
    <row r="8" spans="1:17" ht="13.5" customHeight="1" x14ac:dyDescent="0.2">
      <c r="A8" s="134"/>
      <c r="B8" s="59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49"/>
      <c r="O8" s="100"/>
      <c r="P8" s="147"/>
      <c r="Q8" s="112"/>
    </row>
    <row r="9" spans="1:17" ht="13.5" customHeight="1" x14ac:dyDescent="0.2">
      <c r="A9" s="134"/>
      <c r="B9" s="59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49"/>
      <c r="O9" s="100"/>
      <c r="P9" s="147"/>
      <c r="Q9" s="112"/>
    </row>
    <row r="10" spans="1:17" ht="22.5" customHeight="1" x14ac:dyDescent="0.2">
      <c r="A10" s="134"/>
      <c r="B10" s="59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49"/>
      <c r="O10" s="101"/>
      <c r="P10" s="148"/>
      <c r="Q10" s="113"/>
    </row>
    <row r="11" spans="1:17" ht="13.5" customHeight="1" x14ac:dyDescent="0.2">
      <c r="A11" s="7"/>
      <c r="B11" s="3" t="s">
        <v>21</v>
      </c>
      <c r="C11" s="5" t="s">
        <v>9</v>
      </c>
      <c r="D11" s="6" t="s">
        <v>10</v>
      </c>
      <c r="E11" s="5" t="s">
        <v>11</v>
      </c>
      <c r="F11" s="5" t="s">
        <v>12</v>
      </c>
      <c r="G11" s="5" t="s">
        <v>13</v>
      </c>
      <c r="H11" s="5" t="s">
        <v>58</v>
      </c>
      <c r="I11" s="5" t="s">
        <v>14</v>
      </c>
      <c r="J11" s="5" t="s">
        <v>15</v>
      </c>
      <c r="K11" s="5" t="s">
        <v>67</v>
      </c>
      <c r="L11" s="5" t="s">
        <v>68</v>
      </c>
      <c r="M11" s="5" t="s">
        <v>69</v>
      </c>
      <c r="N11" s="37" t="s">
        <v>70</v>
      </c>
      <c r="O11" s="5" t="s">
        <v>1</v>
      </c>
      <c r="P11" s="5" t="s">
        <v>71</v>
      </c>
      <c r="Q11" s="5" t="s">
        <v>72</v>
      </c>
    </row>
    <row r="12" spans="1:17" ht="13.5" customHeight="1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25.5" x14ac:dyDescent="0.2">
      <c r="A13" s="8" t="s">
        <v>107</v>
      </c>
      <c r="B13" s="135" t="s">
        <v>34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</row>
    <row r="14" spans="1:17" ht="22.5" customHeight="1" x14ac:dyDescent="0.2">
      <c r="A14" s="28" t="s">
        <v>108</v>
      </c>
      <c r="B14" s="110" t="s">
        <v>35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7" ht="13.5" customHeight="1" x14ac:dyDescent="0.2">
      <c r="A15" s="29" t="s">
        <v>109</v>
      </c>
      <c r="B15" s="109" t="s">
        <v>36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7" ht="12.75" x14ac:dyDescent="0.2">
      <c r="A16" s="29" t="s">
        <v>110</v>
      </c>
      <c r="B16" s="110" t="s">
        <v>118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ht="36" customHeight="1" x14ac:dyDescent="0.2">
      <c r="A17" s="30" t="s">
        <v>111</v>
      </c>
      <c r="B17" s="109" t="s">
        <v>37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ht="13.5" customHeight="1" x14ac:dyDescent="0.2">
      <c r="A18" s="31" t="s">
        <v>112</v>
      </c>
      <c r="B18" s="110" t="s">
        <v>38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7" ht="12.75" x14ac:dyDescent="0.2">
      <c r="A19" s="32" t="s">
        <v>113</v>
      </c>
      <c r="B19" s="109" t="s">
        <v>119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ht="12.75" x14ac:dyDescent="0.2">
      <c r="A20" s="33" t="s">
        <v>114</v>
      </c>
      <c r="B20" s="110" t="s">
        <v>39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ht="30.75" customHeight="1" x14ac:dyDescent="0.2">
      <c r="A21" s="28" t="s">
        <v>115</v>
      </c>
      <c r="B21" s="110" t="s">
        <v>40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ht="13.5" customHeight="1" x14ac:dyDescent="0.2">
      <c r="A22" s="32" t="s">
        <v>116</v>
      </c>
      <c r="B22" s="110" t="s">
        <v>41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ht="13.5" customHeight="1" thickBot="1" x14ac:dyDescent="0.25">
      <c r="A23" s="34" t="s">
        <v>117</v>
      </c>
      <c r="B23" s="110" t="s">
        <v>120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32" spans="1:17" ht="75" customHeight="1" x14ac:dyDescent="0.2">
      <c r="A32" s="129" t="str">
        <f>CONCATENATE("Informacja z wykonania budżetów miast na prawach powiatu za ",$D$104," ",$C$105," roku")</f>
        <v>Informacja z wykonania budżetów miast na prawach powiatu za - 2023 roku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7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7" ht="13.5" customHeight="1" x14ac:dyDescent="0.2">
      <c r="A34" s="77" t="s">
        <v>52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6" spans="1:17" ht="13.5" customHeight="1" x14ac:dyDescent="0.2">
      <c r="A36" s="130" t="s">
        <v>0</v>
      </c>
      <c r="B36" s="131" t="s">
        <v>53</v>
      </c>
      <c r="C36" s="122" t="s">
        <v>55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4"/>
      <c r="O36" s="122" t="s">
        <v>73</v>
      </c>
      <c r="P36" s="122"/>
      <c r="Q36" s="123"/>
    </row>
    <row r="37" spans="1:17" ht="13.5" customHeight="1" x14ac:dyDescent="0.2">
      <c r="A37" s="130"/>
      <c r="B37" s="131"/>
      <c r="C37" s="111" t="s">
        <v>54</v>
      </c>
      <c r="D37" s="118" t="s">
        <v>56</v>
      </c>
      <c r="E37" s="118" t="s">
        <v>74</v>
      </c>
      <c r="F37" s="118" t="s">
        <v>75</v>
      </c>
      <c r="G37" s="118" t="s">
        <v>76</v>
      </c>
      <c r="H37" s="118" t="s">
        <v>77</v>
      </c>
      <c r="I37" s="128" t="s">
        <v>78</v>
      </c>
      <c r="J37" s="55" t="s">
        <v>59</v>
      </c>
      <c r="K37" s="118" t="s">
        <v>60</v>
      </c>
      <c r="L37" s="118" t="s">
        <v>61</v>
      </c>
      <c r="M37" s="118" t="s">
        <v>62</v>
      </c>
      <c r="N37" s="125" t="s">
        <v>63</v>
      </c>
      <c r="O37" s="111" t="s">
        <v>64</v>
      </c>
      <c r="P37" s="118" t="s">
        <v>65</v>
      </c>
      <c r="Q37" s="111" t="s">
        <v>66</v>
      </c>
    </row>
    <row r="38" spans="1:17" ht="13.5" customHeight="1" x14ac:dyDescent="0.2">
      <c r="A38" s="130"/>
      <c r="B38" s="131"/>
      <c r="C38" s="112"/>
      <c r="D38" s="119"/>
      <c r="E38" s="119"/>
      <c r="F38" s="119"/>
      <c r="G38" s="119"/>
      <c r="H38" s="119"/>
      <c r="I38" s="128"/>
      <c r="J38" s="55"/>
      <c r="K38" s="119"/>
      <c r="L38" s="119"/>
      <c r="M38" s="119"/>
      <c r="N38" s="126"/>
      <c r="O38" s="112"/>
      <c r="P38" s="119"/>
      <c r="Q38" s="112"/>
    </row>
    <row r="39" spans="1:17" ht="13.5" customHeight="1" x14ac:dyDescent="0.2">
      <c r="A39" s="130"/>
      <c r="B39" s="131"/>
      <c r="C39" s="112"/>
      <c r="D39" s="119"/>
      <c r="E39" s="119"/>
      <c r="F39" s="119"/>
      <c r="G39" s="119"/>
      <c r="H39" s="119"/>
      <c r="I39" s="128"/>
      <c r="J39" s="55"/>
      <c r="K39" s="119"/>
      <c r="L39" s="119"/>
      <c r="M39" s="119"/>
      <c r="N39" s="126"/>
      <c r="O39" s="112"/>
      <c r="P39" s="119"/>
      <c r="Q39" s="112"/>
    </row>
    <row r="40" spans="1:17" ht="13.5" customHeight="1" x14ac:dyDescent="0.2">
      <c r="A40" s="130"/>
      <c r="B40" s="131"/>
      <c r="C40" s="112"/>
      <c r="D40" s="119"/>
      <c r="E40" s="119"/>
      <c r="F40" s="119"/>
      <c r="G40" s="119"/>
      <c r="H40" s="119"/>
      <c r="I40" s="128"/>
      <c r="J40" s="55"/>
      <c r="K40" s="119"/>
      <c r="L40" s="119"/>
      <c r="M40" s="119"/>
      <c r="N40" s="126"/>
      <c r="O40" s="112"/>
      <c r="P40" s="119"/>
      <c r="Q40" s="112"/>
    </row>
    <row r="41" spans="1:17" ht="22.5" customHeight="1" x14ac:dyDescent="0.2">
      <c r="A41" s="130"/>
      <c r="B41" s="131"/>
      <c r="C41" s="113"/>
      <c r="D41" s="120"/>
      <c r="E41" s="120"/>
      <c r="F41" s="120"/>
      <c r="G41" s="120"/>
      <c r="H41" s="120"/>
      <c r="I41" s="128"/>
      <c r="J41" s="55"/>
      <c r="K41" s="120"/>
      <c r="L41" s="120"/>
      <c r="M41" s="120"/>
      <c r="N41" s="127"/>
      <c r="O41" s="113"/>
      <c r="P41" s="120"/>
      <c r="Q41" s="113"/>
    </row>
    <row r="42" spans="1:17" ht="13.5" customHeight="1" x14ac:dyDescent="0.2">
      <c r="A42" s="21"/>
      <c r="B42" s="22" t="s">
        <v>22</v>
      </c>
      <c r="C42" s="18" t="s">
        <v>9</v>
      </c>
      <c r="D42" s="6" t="s">
        <v>10</v>
      </c>
      <c r="E42" s="3" t="s">
        <v>11</v>
      </c>
      <c r="F42" s="5" t="s">
        <v>12</v>
      </c>
      <c r="G42" s="5" t="s">
        <v>13</v>
      </c>
      <c r="H42" s="5" t="s">
        <v>58</v>
      </c>
      <c r="I42" s="3" t="s">
        <v>14</v>
      </c>
      <c r="J42" s="3" t="s">
        <v>15</v>
      </c>
      <c r="K42" s="5" t="s">
        <v>67</v>
      </c>
      <c r="L42" s="5" t="s">
        <v>68</v>
      </c>
      <c r="M42" s="5" t="s">
        <v>69</v>
      </c>
      <c r="N42" s="19" t="s">
        <v>70</v>
      </c>
      <c r="O42" s="18" t="s">
        <v>1</v>
      </c>
      <c r="P42" s="5" t="s">
        <v>71</v>
      </c>
      <c r="Q42" s="5" t="s">
        <v>72</v>
      </c>
    </row>
    <row r="43" spans="1:17" ht="13.5" customHeight="1" x14ac:dyDescent="0.2">
      <c r="A43" s="19">
        <v>1</v>
      </c>
      <c r="B43" s="22">
        <v>2</v>
      </c>
      <c r="C43" s="4">
        <v>3</v>
      </c>
      <c r="D43" s="3">
        <v>4</v>
      </c>
      <c r="E43" s="3">
        <v>5</v>
      </c>
      <c r="F43" s="3">
        <v>6</v>
      </c>
      <c r="G43" s="3">
        <v>7</v>
      </c>
      <c r="H43" s="3">
        <v>8</v>
      </c>
      <c r="I43" s="3">
        <v>9</v>
      </c>
      <c r="J43" s="3">
        <v>10</v>
      </c>
      <c r="K43" s="3">
        <v>11</v>
      </c>
      <c r="L43" s="3">
        <v>12</v>
      </c>
      <c r="M43" s="3">
        <v>13</v>
      </c>
      <c r="N43" s="20">
        <v>14</v>
      </c>
      <c r="O43" s="4">
        <v>15</v>
      </c>
      <c r="P43" s="3">
        <v>16</v>
      </c>
      <c r="Q43" s="3">
        <v>17</v>
      </c>
    </row>
    <row r="44" spans="1:17" ht="30" customHeight="1" x14ac:dyDescent="0.2">
      <c r="A44" s="23" t="s">
        <v>79</v>
      </c>
      <c r="B44" s="132" t="s">
        <v>42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3"/>
    </row>
    <row r="45" spans="1:17" ht="15.75" customHeight="1" x14ac:dyDescent="0.2">
      <c r="A45" s="24" t="s">
        <v>92</v>
      </c>
      <c r="B45" s="114" t="s">
        <v>43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5"/>
    </row>
    <row r="46" spans="1:17" ht="13.5" customHeight="1" x14ac:dyDescent="0.2">
      <c r="A46" s="25" t="s">
        <v>80</v>
      </c>
      <c r="B46" s="116" t="s">
        <v>44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7"/>
    </row>
    <row r="47" spans="1:17" ht="12.75" x14ac:dyDescent="0.2">
      <c r="A47" s="25" t="s">
        <v>81</v>
      </c>
      <c r="B47" s="116" t="s">
        <v>97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7"/>
    </row>
    <row r="48" spans="1:17" ht="13.5" customHeight="1" x14ac:dyDescent="0.2">
      <c r="A48" s="24" t="s">
        <v>93</v>
      </c>
      <c r="B48" s="116" t="s">
        <v>148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7"/>
    </row>
    <row r="49" spans="1:17" ht="13.5" customHeight="1" x14ac:dyDescent="0.2">
      <c r="A49" s="25" t="s">
        <v>82</v>
      </c>
      <c r="B49" s="114" t="s">
        <v>45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5"/>
    </row>
    <row r="50" spans="1:17" ht="12.75" x14ac:dyDescent="0.2">
      <c r="A50" s="25" t="s">
        <v>83</v>
      </c>
      <c r="B50" s="116" t="s">
        <v>98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7"/>
    </row>
    <row r="51" spans="1:17" ht="12.75" x14ac:dyDescent="0.2">
      <c r="A51" s="26" t="s">
        <v>94</v>
      </c>
      <c r="B51" s="114" t="s">
        <v>46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5"/>
    </row>
    <row r="52" spans="1:17" ht="13.5" customHeight="1" x14ac:dyDescent="0.2">
      <c r="A52" s="25" t="s">
        <v>84</v>
      </c>
      <c r="B52" s="114" t="s">
        <v>99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5"/>
    </row>
    <row r="53" spans="1:17" ht="13.5" customHeight="1" x14ac:dyDescent="0.2">
      <c r="A53" s="25" t="s">
        <v>85</v>
      </c>
      <c r="B53" s="114" t="s">
        <v>100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/>
    </row>
    <row r="54" spans="1:17" ht="13.5" customHeight="1" x14ac:dyDescent="0.2">
      <c r="A54" s="25" t="s">
        <v>86</v>
      </c>
      <c r="B54" s="114" t="s">
        <v>101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5"/>
    </row>
    <row r="55" spans="1:17" ht="13.5" customHeight="1" x14ac:dyDescent="0.2">
      <c r="A55" s="24" t="s">
        <v>95</v>
      </c>
      <c r="B55" s="114" t="s">
        <v>47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5"/>
    </row>
    <row r="56" spans="1:17" ht="13.5" customHeight="1" x14ac:dyDescent="0.2">
      <c r="A56" s="25" t="s">
        <v>87</v>
      </c>
      <c r="B56" s="114" t="s">
        <v>48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7" spans="1:17" ht="13.5" customHeight="1" x14ac:dyDescent="0.2">
      <c r="A57" s="25" t="s">
        <v>88</v>
      </c>
      <c r="B57" s="114" t="s">
        <v>102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5"/>
    </row>
    <row r="58" spans="1:17" ht="13.5" customHeight="1" x14ac:dyDescent="0.2">
      <c r="A58" s="24" t="s">
        <v>96</v>
      </c>
      <c r="B58" s="114" t="s">
        <v>103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5"/>
    </row>
    <row r="59" spans="1:17" ht="13.5" customHeight="1" x14ac:dyDescent="0.2">
      <c r="A59" s="25" t="s">
        <v>89</v>
      </c>
      <c r="B59" s="121" t="s">
        <v>104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0" spans="1:17" ht="24" customHeight="1" x14ac:dyDescent="0.2">
      <c r="A60" s="25" t="s">
        <v>90</v>
      </c>
      <c r="B60" s="121" t="s">
        <v>105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5"/>
    </row>
    <row r="61" spans="1:17" ht="18" customHeight="1" thickBot="1" x14ac:dyDescent="0.25">
      <c r="A61" s="27" t="s">
        <v>91</v>
      </c>
      <c r="B61" s="121" t="s">
        <v>106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5"/>
    </row>
    <row r="65" spans="1:13" ht="75" customHeight="1" x14ac:dyDescent="0.2">
      <c r="A65" s="129" t="str">
        <f>CONCATENATE("Informacja z wykonania budżetów miast na prawach powiatu za ",$D$104," ",$C$105," roku")</f>
        <v>Informacja z wykonania budżetów miast na prawach powiatu za - 2023 roku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</row>
    <row r="66" spans="1:13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5" customHeight="1" x14ac:dyDescent="0.2">
      <c r="B67" s="77" t="s">
        <v>5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9" spans="1:13" ht="13.5" customHeight="1" x14ac:dyDescent="0.2">
      <c r="B69" s="134" t="s">
        <v>0</v>
      </c>
      <c r="C69" s="134"/>
      <c r="D69" s="134"/>
      <c r="E69" s="134"/>
      <c r="F69" s="99" t="s">
        <v>2</v>
      </c>
      <c r="G69" s="59" t="s">
        <v>142</v>
      </c>
      <c r="H69" s="60"/>
      <c r="I69" s="60"/>
      <c r="J69" s="60"/>
      <c r="K69" s="60"/>
      <c r="L69" s="61"/>
    </row>
    <row r="70" spans="1:13" ht="13.5" customHeight="1" x14ac:dyDescent="0.2">
      <c r="B70" s="134"/>
      <c r="C70" s="134"/>
      <c r="D70" s="134"/>
      <c r="E70" s="134"/>
      <c r="F70" s="100"/>
      <c r="G70" s="55" t="s">
        <v>6</v>
      </c>
      <c r="H70" s="55" t="s">
        <v>74</v>
      </c>
      <c r="I70" s="55" t="s">
        <v>141</v>
      </c>
      <c r="J70" s="55" t="s">
        <v>76</v>
      </c>
      <c r="K70" s="55" t="s">
        <v>77</v>
      </c>
      <c r="L70" s="150" t="s">
        <v>147</v>
      </c>
    </row>
    <row r="71" spans="1:13" ht="13.5" customHeight="1" x14ac:dyDescent="0.2">
      <c r="B71" s="134"/>
      <c r="C71" s="134"/>
      <c r="D71" s="134"/>
      <c r="E71" s="134"/>
      <c r="F71" s="100"/>
      <c r="G71" s="55"/>
      <c r="H71" s="55"/>
      <c r="I71" s="55"/>
      <c r="J71" s="55"/>
      <c r="K71" s="55"/>
      <c r="L71" s="151"/>
    </row>
    <row r="72" spans="1:13" ht="22.5" customHeight="1" x14ac:dyDescent="0.2">
      <c r="B72" s="134"/>
      <c r="C72" s="134"/>
      <c r="D72" s="134"/>
      <c r="E72" s="134"/>
      <c r="F72" s="101"/>
      <c r="G72" s="55"/>
      <c r="H72" s="55"/>
      <c r="I72" s="55"/>
      <c r="J72" s="55"/>
      <c r="K72" s="55"/>
      <c r="L72" s="152"/>
    </row>
    <row r="73" spans="1:13" ht="13.5" customHeight="1" x14ac:dyDescent="0.2">
      <c r="B73" s="55"/>
      <c r="C73" s="55"/>
      <c r="D73" s="55"/>
      <c r="E73" s="55"/>
      <c r="F73" s="3" t="s">
        <v>20</v>
      </c>
      <c r="G73" s="3" t="s">
        <v>16</v>
      </c>
      <c r="H73" s="3" t="s">
        <v>17</v>
      </c>
      <c r="I73" s="3" t="s">
        <v>18</v>
      </c>
      <c r="J73" s="3" t="s">
        <v>19</v>
      </c>
      <c r="K73" s="3" t="s">
        <v>132</v>
      </c>
      <c r="L73" s="42" t="s">
        <v>133</v>
      </c>
    </row>
    <row r="74" spans="1:13" ht="13.5" customHeight="1" x14ac:dyDescent="0.2">
      <c r="B74" s="55">
        <v>1</v>
      </c>
      <c r="C74" s="55"/>
      <c r="D74" s="55"/>
      <c r="E74" s="55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40">
        <v>8</v>
      </c>
    </row>
    <row r="75" spans="1:13" ht="33.75" customHeight="1" x14ac:dyDescent="0.2">
      <c r="B75" s="136" t="s">
        <v>121</v>
      </c>
      <c r="C75" s="136"/>
      <c r="D75" s="136"/>
      <c r="E75" s="136"/>
      <c r="F75" s="145" t="s">
        <v>49</v>
      </c>
      <c r="G75" s="145"/>
      <c r="H75" s="145"/>
      <c r="I75" s="145"/>
      <c r="J75" s="145"/>
      <c r="K75" s="145"/>
      <c r="L75" s="145"/>
    </row>
    <row r="76" spans="1:13" ht="33.75" customHeight="1" x14ac:dyDescent="0.2">
      <c r="B76" s="137" t="s">
        <v>122</v>
      </c>
      <c r="C76" s="137"/>
      <c r="D76" s="137"/>
      <c r="E76" s="137"/>
      <c r="F76" s="137" t="s">
        <v>50</v>
      </c>
      <c r="G76" s="137"/>
      <c r="H76" s="137"/>
      <c r="I76" s="137"/>
      <c r="J76" s="137"/>
      <c r="K76" s="137"/>
      <c r="L76" s="137"/>
    </row>
    <row r="77" spans="1:13" ht="33.75" customHeight="1" x14ac:dyDescent="0.2">
      <c r="B77" s="136" t="s">
        <v>123</v>
      </c>
      <c r="C77" s="136"/>
      <c r="D77" s="136"/>
      <c r="E77" s="136"/>
      <c r="F77" s="136" t="s">
        <v>51</v>
      </c>
      <c r="G77" s="136"/>
      <c r="H77" s="136"/>
      <c r="I77" s="136"/>
      <c r="J77" s="136"/>
      <c r="K77" s="136"/>
      <c r="L77" s="136"/>
    </row>
    <row r="78" spans="1:13" ht="22.5" customHeight="1" x14ac:dyDescent="0.2">
      <c r="B78" s="136" t="s">
        <v>124</v>
      </c>
      <c r="C78" s="136"/>
      <c r="D78" s="136"/>
      <c r="E78" s="136"/>
      <c r="F78" s="137" t="s">
        <v>128</v>
      </c>
      <c r="G78" s="137"/>
      <c r="H78" s="137"/>
      <c r="I78" s="137"/>
      <c r="J78" s="137"/>
      <c r="K78" s="137"/>
      <c r="L78" s="137"/>
    </row>
    <row r="79" spans="1:13" ht="33.75" customHeight="1" x14ac:dyDescent="0.2">
      <c r="B79" s="137" t="s">
        <v>125</v>
      </c>
      <c r="C79" s="137"/>
      <c r="D79" s="137"/>
      <c r="E79" s="137"/>
      <c r="F79" s="136" t="s">
        <v>129</v>
      </c>
      <c r="G79" s="136"/>
      <c r="H79" s="136"/>
      <c r="I79" s="136"/>
      <c r="J79" s="136"/>
      <c r="K79" s="136"/>
      <c r="L79" s="136"/>
    </row>
    <row r="80" spans="1:13" ht="33.75" customHeight="1" x14ac:dyDescent="0.2">
      <c r="B80" s="136" t="s">
        <v>126</v>
      </c>
      <c r="C80" s="136"/>
      <c r="D80" s="136"/>
      <c r="E80" s="136"/>
      <c r="F80" s="137" t="s">
        <v>130</v>
      </c>
      <c r="G80" s="137"/>
      <c r="H80" s="137"/>
      <c r="I80" s="137"/>
      <c r="J80" s="137"/>
      <c r="K80" s="137"/>
      <c r="L80" s="137"/>
    </row>
    <row r="81" spans="1:13" ht="22.5" customHeight="1" x14ac:dyDescent="0.2">
      <c r="B81" s="72" t="s">
        <v>127</v>
      </c>
      <c r="C81" s="73"/>
      <c r="D81" s="73"/>
      <c r="E81" s="74"/>
      <c r="F81" s="136" t="s">
        <v>131</v>
      </c>
      <c r="G81" s="136"/>
      <c r="H81" s="136"/>
      <c r="I81" s="136"/>
      <c r="J81" s="136"/>
      <c r="K81" s="136"/>
      <c r="L81" s="136"/>
    </row>
    <row r="82" spans="1:13" ht="18.75" customHeight="1" x14ac:dyDescent="0.2">
      <c r="A82" s="35"/>
      <c r="B82" s="36"/>
      <c r="C82" s="36"/>
      <c r="D82" s="36"/>
      <c r="E82" s="36"/>
      <c r="F82" s="144"/>
      <c r="G82" s="144"/>
      <c r="H82" s="144"/>
      <c r="I82" s="144"/>
      <c r="J82" s="144"/>
      <c r="K82" s="144"/>
      <c r="L82" s="35"/>
    </row>
    <row r="83" spans="1:13" ht="13.5" customHeight="1" x14ac:dyDescent="0.2">
      <c r="C83" s="35"/>
      <c r="G83" s="35"/>
      <c r="H83" s="35"/>
      <c r="I83" s="35"/>
      <c r="J83" s="35"/>
      <c r="K83" s="35"/>
    </row>
    <row r="94" spans="1:13" ht="75" customHeight="1" x14ac:dyDescent="0.2">
      <c r="A94" s="129" t="str">
        <f>CONCATENATE("Informacja z wykonania budżetów gmin za ",$D$104," ",$C$105," roku")</f>
        <v>Informacja z wykonania budżetów gmin za - 2023 roku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</row>
    <row r="95" spans="1:13" ht="13.5" customHeight="1" x14ac:dyDescent="0.2">
      <c r="B95" s="9"/>
    </row>
    <row r="96" spans="1:13" ht="13.5" customHeight="1" x14ac:dyDescent="0.2">
      <c r="B96" s="10"/>
      <c r="C96" s="59"/>
      <c r="D96" s="60"/>
      <c r="E96" s="60"/>
      <c r="F96" s="61"/>
      <c r="G96" s="59" t="s">
        <v>7</v>
      </c>
      <c r="H96" s="61"/>
      <c r="I96" s="59" t="s">
        <v>8</v>
      </c>
      <c r="J96" s="61"/>
      <c r="K96" s="10"/>
    </row>
    <row r="97" spans="2:11" ht="13.5" customHeight="1" x14ac:dyDescent="0.2">
      <c r="B97" s="10"/>
      <c r="C97" s="14"/>
      <c r="D97" s="13"/>
      <c r="E97" s="13"/>
      <c r="F97" s="4"/>
      <c r="G97" s="59" t="s">
        <v>33</v>
      </c>
      <c r="H97" s="61"/>
      <c r="I97" s="59" t="s">
        <v>32</v>
      </c>
      <c r="J97" s="61"/>
      <c r="K97" s="10"/>
    </row>
    <row r="98" spans="2:11" ht="13.5" customHeight="1" x14ac:dyDescent="0.2">
      <c r="B98" s="11"/>
      <c r="C98" s="72" t="s">
        <v>23</v>
      </c>
      <c r="D98" s="73"/>
      <c r="E98" s="73"/>
      <c r="F98" s="74"/>
      <c r="G98" s="138" t="s">
        <v>29</v>
      </c>
      <c r="H98" s="139"/>
      <c r="I98" s="139"/>
      <c r="J98" s="140"/>
      <c r="K98" s="12"/>
    </row>
    <row r="99" spans="2:11" ht="13.5" customHeight="1" x14ac:dyDescent="0.2">
      <c r="B99" s="11"/>
      <c r="C99" s="87" t="s">
        <v>24</v>
      </c>
      <c r="D99" s="88"/>
      <c r="E99" s="88"/>
      <c r="F99" s="89"/>
      <c r="G99" s="141" t="s">
        <v>30</v>
      </c>
      <c r="H99" s="142"/>
      <c r="I99" s="142"/>
      <c r="J99" s="143"/>
      <c r="K99" s="12"/>
    </row>
    <row r="100" spans="2:11" ht="13.5" customHeight="1" x14ac:dyDescent="0.2">
      <c r="B100" s="11"/>
      <c r="C100" s="72" t="s">
        <v>25</v>
      </c>
      <c r="D100" s="73"/>
      <c r="E100" s="73"/>
      <c r="F100" s="74"/>
      <c r="G100" s="138" t="s">
        <v>31</v>
      </c>
      <c r="H100" s="139"/>
      <c r="I100" s="139"/>
      <c r="J100" s="140"/>
      <c r="K100" s="12"/>
    </row>
    <row r="104" spans="2:11" ht="13.5" customHeight="1" x14ac:dyDescent="0.2">
      <c r="B104" s="15" t="s">
        <v>26</v>
      </c>
      <c r="C104" s="15">
        <f>2</f>
        <v>2</v>
      </c>
      <c r="D104" s="15" t="str">
        <f>IF(C104="1","I Kwartał",IF(C104="2","II Kwartały",IF(C104="3","III Kwartały",IF(C104="4","IV Kwartały","-"))))</f>
        <v>-</v>
      </c>
    </row>
    <row r="105" spans="2:11" ht="13.5" customHeight="1" x14ac:dyDescent="0.2">
      <c r="B105" s="15" t="s">
        <v>27</v>
      </c>
      <c r="C105" s="15">
        <f>2023</f>
        <v>2023</v>
      </c>
      <c r="D105" s="16"/>
    </row>
    <row r="106" spans="2:11" ht="13.5" customHeight="1" x14ac:dyDescent="0.2">
      <c r="B106" s="15" t="s">
        <v>28</v>
      </c>
      <c r="C106" s="17" t="str">
        <f>"Aug 14 2023 12:00AM"</f>
        <v>Aug 14 2023 12:00AM</v>
      </c>
      <c r="D106" s="16"/>
    </row>
  </sheetData>
  <mergeCells count="111">
    <mergeCell ref="C5:N5"/>
    <mergeCell ref="G69:L69"/>
    <mergeCell ref="K70:K72"/>
    <mergeCell ref="J70:J72"/>
    <mergeCell ref="I70:I72"/>
    <mergeCell ref="H70:H72"/>
    <mergeCell ref="L70:L72"/>
    <mergeCell ref="K6:K10"/>
    <mergeCell ref="L6:L10"/>
    <mergeCell ref="M6:M10"/>
    <mergeCell ref="O5:Q5"/>
    <mergeCell ref="P6:P10"/>
    <mergeCell ref="O6:O10"/>
    <mergeCell ref="Q6:Q10"/>
    <mergeCell ref="F6:F10"/>
    <mergeCell ref="N6:N10"/>
    <mergeCell ref="G6:G10"/>
    <mergeCell ref="H6:H10"/>
    <mergeCell ref="I6:I10"/>
    <mergeCell ref="J6:J10"/>
    <mergeCell ref="B21:Q21"/>
    <mergeCell ref="B22:Q22"/>
    <mergeCell ref="B23:Q23"/>
    <mergeCell ref="F82:K82"/>
    <mergeCell ref="F75:L75"/>
    <mergeCell ref="F76:L76"/>
    <mergeCell ref="B79:E79"/>
    <mergeCell ref="B80:E80"/>
    <mergeCell ref="B81:E81"/>
    <mergeCell ref="A65:M65"/>
    <mergeCell ref="C96:F96"/>
    <mergeCell ref="C98:F98"/>
    <mergeCell ref="C99:F99"/>
    <mergeCell ref="C100:F100"/>
    <mergeCell ref="G100:J100"/>
    <mergeCell ref="G97:H97"/>
    <mergeCell ref="I97:J97"/>
    <mergeCell ref="G98:J98"/>
    <mergeCell ref="G99:J99"/>
    <mergeCell ref="F77:L77"/>
    <mergeCell ref="F78:L78"/>
    <mergeCell ref="F79:L79"/>
    <mergeCell ref="F80:L80"/>
    <mergeCell ref="B75:E75"/>
    <mergeCell ref="B76:E76"/>
    <mergeCell ref="B77:E77"/>
    <mergeCell ref="B78:E78"/>
    <mergeCell ref="B67:M67"/>
    <mergeCell ref="G96:H96"/>
    <mergeCell ref="I96:J96"/>
    <mergeCell ref="B74:E74"/>
    <mergeCell ref="B73:E73"/>
    <mergeCell ref="B69:E72"/>
    <mergeCell ref="F69:F72"/>
    <mergeCell ref="G70:G72"/>
    <mergeCell ref="A94:M94"/>
    <mergeCell ref="F81:L81"/>
    <mergeCell ref="A3:M3"/>
    <mergeCell ref="B16:Q16"/>
    <mergeCell ref="A5:A10"/>
    <mergeCell ref="B5:B10"/>
    <mergeCell ref="B13:Q13"/>
    <mergeCell ref="B14:Q14"/>
    <mergeCell ref="B15:Q15"/>
    <mergeCell ref="D6:D10"/>
    <mergeCell ref="C6:C10"/>
    <mergeCell ref="E6:E10"/>
    <mergeCell ref="A1:M1"/>
    <mergeCell ref="B51:Q51"/>
    <mergeCell ref="B46:Q46"/>
    <mergeCell ref="B47:Q47"/>
    <mergeCell ref="A32:M32"/>
    <mergeCell ref="A34:M34"/>
    <mergeCell ref="A36:A41"/>
    <mergeCell ref="B36:B41"/>
    <mergeCell ref="B44:Q44"/>
    <mergeCell ref="B45:Q45"/>
    <mergeCell ref="B52:Q52"/>
    <mergeCell ref="Q37:Q41"/>
    <mergeCell ref="H37:H41"/>
    <mergeCell ref="G37:G41"/>
    <mergeCell ref="F37:F41"/>
    <mergeCell ref="J37:J41"/>
    <mergeCell ref="K37:K41"/>
    <mergeCell ref="B48:Q48"/>
    <mergeCell ref="B49:Q49"/>
    <mergeCell ref="I37:I41"/>
    <mergeCell ref="O36:Q36"/>
    <mergeCell ref="C36:N36"/>
    <mergeCell ref="P37:P41"/>
    <mergeCell ref="D37:D41"/>
    <mergeCell ref="L37:L41"/>
    <mergeCell ref="M37:M41"/>
    <mergeCell ref="N37:N41"/>
    <mergeCell ref="C37:C41"/>
    <mergeCell ref="B61:Q61"/>
    <mergeCell ref="B60:Q60"/>
    <mergeCell ref="B56:Q56"/>
    <mergeCell ref="B57:Q57"/>
    <mergeCell ref="B58:Q58"/>
    <mergeCell ref="B59:Q59"/>
    <mergeCell ref="B17:Q17"/>
    <mergeCell ref="B18:Q18"/>
    <mergeCell ref="B19:Q19"/>
    <mergeCell ref="B20:Q20"/>
    <mergeCell ref="O37:O41"/>
    <mergeCell ref="B55:Q55"/>
    <mergeCell ref="B53:Q53"/>
    <mergeCell ref="B54:Q54"/>
    <mergeCell ref="B50:Q50"/>
    <mergeCell ref="E37:E41"/>
  </mergeCells>
  <phoneticPr fontId="5" type="noConversion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zob_nal</vt:lpstr>
      <vt:lpstr>definicja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2023-08-14T13:38:04Z</dcterms:modified>
</cp:coreProperties>
</file>