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3"/>
  <workbookPr/>
  <mc:AlternateContent xmlns:mc="http://schemas.openxmlformats.org/markup-compatibility/2006">
    <mc:Choice Requires="x15">
      <x15ac:absPath xmlns:x15ac="http://schemas.microsoft.com/office/spreadsheetml/2010/11/ac" url="F:\DDP5\FDS-nowe\NABORY_LISTY_FDS\Nabór 2023 BRD\nabór uzupełniający\"/>
    </mc:Choice>
  </mc:AlternateContent>
  <xr:revisionPtr revIDLastSave="0" documentId="8_{BCEE86A1-A24B-45C9-B221-059C69F9959E}" xr6:coauthVersionLast="36" xr6:coauthVersionMax="36" xr10:uidLastSave="{00000000-0000-0000-0000-000000000000}"/>
  <bookViews>
    <workbookView xWindow="0" yWindow="0" windowWidth="21570" windowHeight="7980" xr2:uid="{00000000-000D-0000-FFFF-FFFF00000000}"/>
  </bookViews>
  <sheets>
    <sheet name="TERC - &quot;nazwa woj&quot;" sheetId="7" r:id="rId1"/>
    <sheet name="pow podst" sheetId="17" r:id="rId2"/>
    <sheet name="gm podst" sheetId="13" r:id="rId3"/>
    <sheet name="pow rez" sheetId="18" r:id="rId4"/>
    <sheet name="gm rez" sheetId="16" r:id="rId5"/>
  </sheets>
  <definedNames>
    <definedName name="_xlnm._FilterDatabase" localSheetId="2" hidden="1">'gm podst'!$A$1:$X$23</definedName>
    <definedName name="_xlnm._FilterDatabase" localSheetId="4" hidden="1">'gm rez'!$A$5:$T$15</definedName>
    <definedName name="_xlnm._FilterDatabase" localSheetId="1" hidden="1">'pow podst'!$A$2:$W$20</definedName>
    <definedName name="_xlnm.Print_Area" localSheetId="2">'gm podst'!$A$1:$T$24</definedName>
    <definedName name="_xlnm.Print_Area" localSheetId="4">'gm rez'!$A$1:$T$20</definedName>
    <definedName name="_xlnm.Print_Area" localSheetId="1">'pow podst'!$A$1:$S$21</definedName>
    <definedName name="_xlnm.Print_Area" localSheetId="3">'pow rez'!$A$1:$S$8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Q15" i="16" l="1"/>
  <c r="P3" i="18"/>
  <c r="Q19" i="13" l="1"/>
  <c r="Q8" i="16"/>
  <c r="T8" i="16" s="1"/>
  <c r="Q12" i="16"/>
  <c r="R8" i="16" l="1"/>
  <c r="R12" i="16"/>
  <c r="X12" i="16" s="1"/>
  <c r="T12" i="16"/>
  <c r="U12" i="16"/>
  <c r="V12" i="16"/>
  <c r="W12" i="16" s="1"/>
  <c r="Q11" i="16"/>
  <c r="Q14" i="13"/>
  <c r="R14" i="13" s="1"/>
  <c r="R11" i="16" l="1"/>
  <c r="X11" i="16" s="1"/>
  <c r="T11" i="16"/>
  <c r="U11" i="16" s="1"/>
  <c r="V11" i="16"/>
  <c r="W11" i="16" s="1"/>
  <c r="X14" i="13"/>
  <c r="V14" i="13"/>
  <c r="W14" i="13" s="1"/>
  <c r="T14" i="13"/>
  <c r="U14" i="13" s="1"/>
  <c r="D22" i="7" l="1"/>
  <c r="P16" i="16"/>
  <c r="N16" i="16"/>
  <c r="M16" i="16"/>
  <c r="L16" i="16"/>
  <c r="K16" i="16"/>
  <c r="J16" i="16"/>
  <c r="I16" i="16"/>
  <c r="Q3" i="16"/>
  <c r="T19" i="13"/>
  <c r="T3" i="16" l="1"/>
  <c r="V19" i="13"/>
  <c r="W19" i="13" s="1"/>
  <c r="R3" i="16"/>
  <c r="R19" i="13"/>
  <c r="X19" i="13" s="1"/>
  <c r="P16" i="17"/>
  <c r="Q5" i="16"/>
  <c r="Q9" i="16"/>
  <c r="R9" i="16" s="1"/>
  <c r="Q14" i="16"/>
  <c r="R14" i="16" s="1"/>
  <c r="R15" i="16"/>
  <c r="Q7" i="16"/>
  <c r="R7" i="16" s="1"/>
  <c r="Q10" i="16"/>
  <c r="R10" i="16" s="1"/>
  <c r="Q4" i="16"/>
  <c r="Q6" i="16"/>
  <c r="R6" i="16" s="1"/>
  <c r="Q13" i="16"/>
  <c r="T13" i="16" s="1"/>
  <c r="Q3" i="13"/>
  <c r="Q3" i="18"/>
  <c r="P3" i="17"/>
  <c r="Q3" i="17" s="1"/>
  <c r="Q16" i="13"/>
  <c r="Q16" i="16" l="1"/>
  <c r="R5" i="16"/>
  <c r="V3" i="16"/>
  <c r="W3" i="16" s="1"/>
  <c r="R4" i="16"/>
  <c r="C22" i="7"/>
  <c r="F22" i="7"/>
  <c r="S3" i="18"/>
  <c r="R16" i="13"/>
  <c r="X16" i="13" s="1"/>
  <c r="V16" i="13"/>
  <c r="W16" i="13" s="1"/>
  <c r="T6" i="16"/>
  <c r="T4" i="16"/>
  <c r="T15" i="16"/>
  <c r="T14" i="16"/>
  <c r="T10" i="16"/>
  <c r="T9" i="16"/>
  <c r="T7" i="16"/>
  <c r="T5" i="16"/>
  <c r="U3" i="16" s="1"/>
  <c r="R13" i="16"/>
  <c r="E21" i="7"/>
  <c r="T16" i="13"/>
  <c r="U16" i="13" s="1"/>
  <c r="R16" i="16" l="1"/>
  <c r="T16" i="16"/>
  <c r="G22" i="7"/>
  <c r="E22" i="7"/>
  <c r="P12" i="17"/>
  <c r="Q12" i="17" s="1"/>
  <c r="P8" i="17"/>
  <c r="Q8" i="17" s="1"/>
  <c r="S12" i="17" l="1"/>
  <c r="Q6" i="13" l="1"/>
  <c r="Q12" i="13"/>
  <c r="Q15" i="13"/>
  <c r="Q18" i="13"/>
  <c r="Q11" i="13"/>
  <c r="Q9" i="13"/>
  <c r="Q5" i="13"/>
  <c r="Q13" i="13"/>
  <c r="T13" i="13" s="1"/>
  <c r="V18" i="13" l="1"/>
  <c r="W18" i="13" s="1"/>
  <c r="V9" i="13"/>
  <c r="W9" i="13" s="1"/>
  <c r="R13" i="13"/>
  <c r="Q7" i="13" l="1"/>
  <c r="Q8" i="13"/>
  <c r="Q10" i="13"/>
  <c r="Q4" i="13"/>
  <c r="Q17" i="13"/>
  <c r="P10" i="17"/>
  <c r="P7" i="17"/>
  <c r="P11" i="17"/>
  <c r="P4" i="17"/>
  <c r="P9" i="17"/>
  <c r="P5" i="17"/>
  <c r="P6" i="17"/>
  <c r="P13" i="17"/>
  <c r="P14" i="17"/>
  <c r="P15" i="17"/>
  <c r="U9" i="17" l="1"/>
  <c r="V9" i="17" s="1"/>
  <c r="C18" i="7"/>
  <c r="C19" i="7"/>
  <c r="U4" i="17"/>
  <c r="V4" i="17" s="1"/>
  <c r="U5" i="17"/>
  <c r="V5" i="17" s="1"/>
  <c r="U6" i="17"/>
  <c r="V6" i="17" s="1"/>
  <c r="U7" i="17"/>
  <c r="V7" i="17" s="1"/>
  <c r="U8" i="17"/>
  <c r="V8" i="17" s="1"/>
  <c r="U10" i="17"/>
  <c r="V10" i="17" s="1"/>
  <c r="U11" i="17"/>
  <c r="V11" i="17" s="1"/>
  <c r="U12" i="17"/>
  <c r="V12" i="17" s="1"/>
  <c r="U13" i="17"/>
  <c r="V13" i="17" s="1"/>
  <c r="U14" i="17"/>
  <c r="V14" i="17" s="1"/>
  <c r="U15" i="17"/>
  <c r="V15" i="17" s="1"/>
  <c r="U16" i="17"/>
  <c r="V16" i="17" s="1"/>
  <c r="R10" i="13"/>
  <c r="T8" i="13"/>
  <c r="V6" i="13" l="1"/>
  <c r="W6" i="13" s="1"/>
  <c r="V5" i="13"/>
  <c r="W5" i="13" s="1"/>
  <c r="T10" i="13"/>
  <c r="R8" i="13"/>
  <c r="H17" i="17"/>
  <c r="S7" i="17" l="1"/>
  <c r="Q14" i="17"/>
  <c r="W14" i="17" s="1"/>
  <c r="S14" i="17"/>
  <c r="T14" i="17" s="1"/>
  <c r="Q7" i="17"/>
  <c r="D19" i="7"/>
  <c r="D18" i="7"/>
  <c r="P20" i="13" l="1"/>
  <c r="J20" i="13"/>
  <c r="K20" i="13"/>
  <c r="L20" i="13"/>
  <c r="M20" i="13"/>
  <c r="N20" i="13"/>
  <c r="I20" i="13"/>
  <c r="O17" i="17"/>
  <c r="I17" i="17"/>
  <c r="J17" i="17"/>
  <c r="K17" i="17"/>
  <c r="L17" i="17"/>
  <c r="M17" i="17"/>
  <c r="K18" i="17" l="1"/>
  <c r="H18" i="17"/>
  <c r="V12" i="13" l="1"/>
  <c r="W12" i="13" s="1"/>
  <c r="V10" i="13"/>
  <c r="W10" i="13" s="1"/>
  <c r="V4" i="13"/>
  <c r="W4" i="13" s="1"/>
  <c r="V15" i="13"/>
  <c r="W15" i="13" s="1"/>
  <c r="V11" i="13"/>
  <c r="W11" i="13" s="1"/>
  <c r="V7" i="13"/>
  <c r="W7" i="13" s="1"/>
  <c r="V13" i="13"/>
  <c r="W13" i="13" s="1"/>
  <c r="V17" i="13"/>
  <c r="W17" i="13" s="1"/>
  <c r="V8" i="13"/>
  <c r="W8" i="13" s="1"/>
  <c r="V3" i="13"/>
  <c r="W3" i="13" s="1"/>
  <c r="R11" i="13"/>
  <c r="R6" i="13"/>
  <c r="R7" i="13"/>
  <c r="X7" i="13" s="1"/>
  <c r="R4" i="13"/>
  <c r="X8" i="13" s="1"/>
  <c r="R17" i="13"/>
  <c r="R3" i="13"/>
  <c r="X13" i="13" s="1"/>
  <c r="Q5" i="17"/>
  <c r="S4" i="17"/>
  <c r="T7" i="17" s="1"/>
  <c r="S3" i="17"/>
  <c r="S11" i="17"/>
  <c r="S8" i="17"/>
  <c r="S9" i="17"/>
  <c r="Q6" i="17"/>
  <c r="W12" i="17" s="1"/>
  <c r="Q16" i="17"/>
  <c r="W16" i="17" s="1"/>
  <c r="Q13" i="17"/>
  <c r="W13" i="17" s="1"/>
  <c r="S15" i="17"/>
  <c r="T15" i="17" s="1"/>
  <c r="F19" i="7"/>
  <c r="Q20" i="13"/>
  <c r="Q9" i="17"/>
  <c r="Q15" i="17"/>
  <c r="W15" i="17" s="1"/>
  <c r="Q11" i="17"/>
  <c r="S13" i="17"/>
  <c r="T13" i="17" s="1"/>
  <c r="S5" i="17"/>
  <c r="Q10" i="17"/>
  <c r="S10" i="17"/>
  <c r="R12" i="13"/>
  <c r="Q4" i="17"/>
  <c r="W7" i="17" s="1"/>
  <c r="S6" i="17"/>
  <c r="T12" i="17" s="1"/>
  <c r="S16" i="17"/>
  <c r="T16" i="17" s="1"/>
  <c r="R18" i="13"/>
  <c r="X18" i="13" s="1"/>
  <c r="T11" i="13"/>
  <c r="T6" i="13"/>
  <c r="T12" i="13"/>
  <c r="T4" i="13"/>
  <c r="U8" i="13" s="1"/>
  <c r="T18" i="13"/>
  <c r="T17" i="13"/>
  <c r="U17" i="13" s="1"/>
  <c r="T5" i="13"/>
  <c r="T15" i="13"/>
  <c r="T3" i="13"/>
  <c r="U13" i="13" s="1"/>
  <c r="T7" i="13"/>
  <c r="R9" i="13"/>
  <c r="T9" i="13"/>
  <c r="R5" i="13"/>
  <c r="R15" i="13"/>
  <c r="U15" i="13" l="1"/>
  <c r="U18" i="13"/>
  <c r="X17" i="13"/>
  <c r="X12" i="13"/>
  <c r="W4" i="17"/>
  <c r="U4" i="13"/>
  <c r="U12" i="13"/>
  <c r="W11" i="17"/>
  <c r="W5" i="17"/>
  <c r="T11" i="17"/>
  <c r="T5" i="17"/>
  <c r="T8" i="17"/>
  <c r="T9" i="17"/>
  <c r="W10" i="17"/>
  <c r="T6" i="17"/>
  <c r="W6" i="17"/>
  <c r="T4" i="17"/>
  <c r="W8" i="17"/>
  <c r="W9" i="17"/>
  <c r="T10" i="17"/>
  <c r="X6" i="13"/>
  <c r="X15" i="13"/>
  <c r="X3" i="13"/>
  <c r="U10" i="13"/>
  <c r="U5" i="13"/>
  <c r="U19" i="13"/>
  <c r="U6" i="13"/>
  <c r="X10" i="13"/>
  <c r="X5" i="13"/>
  <c r="X11" i="13"/>
  <c r="X9" i="13"/>
  <c r="U7" i="13"/>
  <c r="U11" i="13"/>
  <c r="U9" i="13"/>
  <c r="U3" i="13"/>
  <c r="X4" i="13"/>
  <c r="G19" i="7"/>
  <c r="T20" i="13"/>
  <c r="U20" i="13" s="1"/>
  <c r="E19" i="7"/>
  <c r="R20" i="13"/>
  <c r="X20" i="13" s="1"/>
  <c r="D21" i="7"/>
  <c r="O4" i="18"/>
  <c r="M4" i="18"/>
  <c r="L4" i="18"/>
  <c r="K4" i="18"/>
  <c r="J4" i="18"/>
  <c r="I4" i="18"/>
  <c r="H4" i="18"/>
  <c r="W3" i="17"/>
  <c r="U3" i="17"/>
  <c r="V3" i="17" s="1"/>
  <c r="T3" i="17"/>
  <c r="X15" i="16"/>
  <c r="V15" i="16"/>
  <c r="W15" i="16" s="1"/>
  <c r="U15" i="16"/>
  <c r="X14" i="16"/>
  <c r="V14" i="16"/>
  <c r="W14" i="16" s="1"/>
  <c r="U14" i="16"/>
  <c r="X13" i="16"/>
  <c r="V13" i="16"/>
  <c r="W13" i="16" s="1"/>
  <c r="U13" i="16"/>
  <c r="X10" i="16"/>
  <c r="V10" i="16"/>
  <c r="W10" i="16" s="1"/>
  <c r="U10" i="16"/>
  <c r="X9" i="16"/>
  <c r="V9" i="16"/>
  <c r="W9" i="16" s="1"/>
  <c r="U9" i="16"/>
  <c r="X7" i="16"/>
  <c r="V7" i="16"/>
  <c r="W7" i="16" s="1"/>
  <c r="U7" i="16"/>
  <c r="X6" i="16"/>
  <c r="V6" i="16"/>
  <c r="W6" i="16" s="1"/>
  <c r="U6" i="16"/>
  <c r="X4" i="16"/>
  <c r="V4" i="16"/>
  <c r="W4" i="16" s="1"/>
  <c r="U4" i="16"/>
  <c r="X5" i="16"/>
  <c r="V5" i="16"/>
  <c r="W5" i="16" s="1"/>
  <c r="U5" i="16"/>
  <c r="K5" i="18" l="1"/>
  <c r="L9" i="18" s="1"/>
  <c r="F18" i="7"/>
  <c r="P17" i="17"/>
  <c r="I17" i="16"/>
  <c r="J21" i="16" s="1"/>
  <c r="L21" i="13"/>
  <c r="M25" i="13" s="1"/>
  <c r="H5" i="18"/>
  <c r="I9" i="18" s="1"/>
  <c r="I22" i="17"/>
  <c r="L22" i="17"/>
  <c r="V16" i="16"/>
  <c r="L17" i="16"/>
  <c r="M21" i="16" s="1"/>
  <c r="X3" i="16"/>
  <c r="U17" i="17" l="1"/>
  <c r="G18" i="7"/>
  <c r="S17" i="17"/>
  <c r="T17" i="17" s="1"/>
  <c r="E18" i="7"/>
  <c r="Q17" i="17"/>
  <c r="W17" i="17" s="1"/>
  <c r="I21" i="13"/>
  <c r="J25" i="13" s="1"/>
  <c r="G21" i="7"/>
  <c r="Q4" i="18"/>
  <c r="X16" i="16"/>
  <c r="V20" i="13"/>
  <c r="S4" i="18" l="1"/>
  <c r="U16" i="16"/>
  <c r="H22" i="7" l="1"/>
  <c r="I22" i="7"/>
  <c r="G23" i="7"/>
  <c r="G26" i="7" s="1"/>
  <c r="D23" i="7"/>
  <c r="D26" i="7" s="1"/>
  <c r="E23" i="7"/>
  <c r="E26" i="7" s="1"/>
  <c r="C20" i="7" l="1"/>
  <c r="C25" i="7" l="1"/>
  <c r="F20" i="7" l="1"/>
  <c r="F25" i="7" l="1"/>
  <c r="I18" i="7"/>
  <c r="D20" i="7"/>
  <c r="I19" i="7"/>
  <c r="G20" i="7"/>
  <c r="G25" i="7" s="1"/>
  <c r="H19" i="7"/>
  <c r="D24" i="7" l="1"/>
  <c r="D27" i="7" s="1"/>
  <c r="H18" i="7"/>
  <c r="D25" i="7"/>
  <c r="I20" i="7"/>
  <c r="E20" i="7"/>
  <c r="G24" i="7"/>
  <c r="G27" i="7" l="1"/>
  <c r="H20" i="7"/>
  <c r="E25" i="7"/>
  <c r="E24" i="7"/>
  <c r="E27" i="7" l="1"/>
  <c r="T3" i="18"/>
  <c r="U3" i="18"/>
  <c r="V3" i="18" s="1"/>
  <c r="W3" i="18"/>
  <c r="F21" i="7"/>
  <c r="I21" i="7" s="1"/>
  <c r="P4" i="18"/>
  <c r="W4" i="18" s="1"/>
  <c r="C21" i="7"/>
  <c r="T4" i="18" l="1"/>
  <c r="U4" i="18"/>
  <c r="H21" i="7"/>
  <c r="C23" i="7"/>
  <c r="F23" i="7"/>
  <c r="F26" i="7"/>
  <c r="I23" i="7" l="1"/>
  <c r="F24" i="7"/>
  <c r="H23" i="7"/>
  <c r="C24" i="7"/>
  <c r="C27" i="7" s="1"/>
  <c r="C26" i="7"/>
  <c r="H24" i="7" l="1"/>
  <c r="I24" i="7"/>
  <c r="F27" i="7"/>
</calcChain>
</file>

<file path=xl/sharedStrings.xml><?xml version="1.0" encoding="utf-8"?>
<sst xmlns="http://schemas.openxmlformats.org/spreadsheetml/2006/main" count="411" uniqueCount="145">
  <si>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</si>
  <si>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</si>
  <si>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</si>
  <si>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</si>
  <si>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</si>
  <si>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</si>
  <si>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</si>
  <si>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</si>
  <si>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</si>
  <si>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</si>
  <si>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</si>
  <si>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</si>
  <si>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</si>
  <si>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</si>
  <si>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</si>
  <si>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</si>
  <si>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</si>
  <si>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</si>
  <si>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</si>
  <si>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</si>
  <si>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</si>
  <si>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</si>
  <si>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</si>
  <si>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</si>
  <si>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</si>
  <si>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</si>
  <si>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</si>
  <si>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</si>
  <si>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</si>
  <si>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</si>
  <si>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</si>
  <si>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</si>
  <si>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</si>
  <si>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</si>
  <si>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RAZEM nowe zadania jednoroczne</t>
  </si>
  <si>
    <t>Kwota dofinansowania 
w podziale na lata</t>
  </si>
  <si>
    <t>Zadanie nowe [N]</t>
  </si>
  <si>
    <t>przejścia dla pieszych</t>
  </si>
  <si>
    <t>przejazdy dla rowerów</t>
  </si>
  <si>
    <t>perony przystankowe wraz z dojściami do tych peronów</t>
  </si>
  <si>
    <t>Liczba realizowanych elementów infrastruktury</t>
  </si>
  <si>
    <t>drogi dla pieszych (km)</t>
  </si>
  <si>
    <t>drogi dla pieszych i rowerów (km)</t>
  </si>
  <si>
    <t>drogi dla rowerów (km)</t>
  </si>
  <si>
    <t>Długość dróg realizowanych w ramach zadania</t>
  </si>
  <si>
    <t>B - budowa (rozbudowa), P - przebudowa, R - remont</t>
  </si>
  <si>
    <r>
      <t>Dofinansowanie przyznane w naborze</t>
    </r>
    <r>
      <rPr>
        <b/>
        <sz val="10"/>
        <rFont val="Times New Roman"/>
        <family val="1"/>
        <charset val="238"/>
      </rPr>
      <t>: na rok 2023</t>
    </r>
  </si>
  <si>
    <t>Województwo: podlaskie</t>
  </si>
  <si>
    <t>Gmina Miejska Augustów</t>
  </si>
  <si>
    <t>N</t>
  </si>
  <si>
    <t>Powiat augustowski</t>
  </si>
  <si>
    <t>Budowa ciągu pieszego na działce nr ewid. 4763 w Augustowie</t>
  </si>
  <si>
    <t>B</t>
  </si>
  <si>
    <t>12.2023 - 11.2024</t>
  </si>
  <si>
    <t>Gmina Zambrów</t>
  </si>
  <si>
    <t>Powiat zambrowski</t>
  </si>
  <si>
    <t>Budowa chodnika w ramach budowy ulicy Podleśnej w miejscowości Długobórz</t>
  </si>
  <si>
    <t>07.2023 - 12.2023</t>
  </si>
  <si>
    <t>Gmina Puńsk</t>
  </si>
  <si>
    <t>Powiat sejneński</t>
  </si>
  <si>
    <t>Poprawa bezpieczeństwa niechronionych uczestników ruchu w ciągu ulicy Sejwiańskiej w Puńsku</t>
  </si>
  <si>
    <t>P</t>
  </si>
  <si>
    <t>11.2023 - 09.2024</t>
  </si>
  <si>
    <t>Gmina Miejska Grajewo</t>
  </si>
  <si>
    <t>Powiat grajewski</t>
  </si>
  <si>
    <t>Budowa dróg dla pieszych i przejść dla pieszych na ulicy Grunwaldzkiej w Grajewie</t>
  </si>
  <si>
    <t>12.2023 - 10.2024</t>
  </si>
  <si>
    <t>Gmina Grajewo</t>
  </si>
  <si>
    <t>Budowa drogi wraz z przejściem dla pieszych - etap II</t>
  </si>
  <si>
    <t>Miasto Suwałki</t>
  </si>
  <si>
    <t>Miasto suwałki</t>
  </si>
  <si>
    <t>Poprawa bezpieczeństwa niechronionych uczestników ruchu na ulicy Teofila Noniewicza w Suwałkach</t>
  </si>
  <si>
    <t>11.2023 - 06.2024</t>
  </si>
  <si>
    <t>Gmina Suwałki</t>
  </si>
  <si>
    <t>Powiat suwalski</t>
  </si>
  <si>
    <t>Budowa drogi dla pieszych w ciągu drogi gminnej nr 102030B w msc. Płociczno-Osiedle</t>
  </si>
  <si>
    <t xml:space="preserve">Gmina Wasilków </t>
  </si>
  <si>
    <t>Powiat białostocki</t>
  </si>
  <si>
    <t>Przebudowa przejść dla pieszych w centrum Wasilkowa</t>
  </si>
  <si>
    <t>Budowa chodnika wzdłuż ulicy Sosnowej i Zajęczej w Wasilkowie</t>
  </si>
  <si>
    <t>Gmina Bargłów Kościelny</t>
  </si>
  <si>
    <t>Poprawa bezpieczeństwa niechronionych uczestników ruchu na drodze gminnej nr 102860B Bargłów - Górskie - Kroszewo</t>
  </si>
  <si>
    <t>10.2023 - 08.2024</t>
  </si>
  <si>
    <t>Gmina Choroszcz</t>
  </si>
  <si>
    <t>Poprawa bezpieczeństwa uczestników ruchu drogowego dzięki budowie przeprawy pieszo-rowerowej w ciągu drogi między miejscowością Pańki a jazem w miejscowości Rzędziany</t>
  </si>
  <si>
    <t>Gmina Dąbrowa Białostocka</t>
  </si>
  <si>
    <t>Powiat sokólski</t>
  </si>
  <si>
    <t>Budowa chodnika przy ul. Słowackiego w Dąbrowie Białostockiej</t>
  </si>
  <si>
    <t>Gmina Giby</t>
  </si>
  <si>
    <t>Budowa drogi dla pieszych wraz z przejściem w miejscowości Głęboki Bród</t>
  </si>
  <si>
    <t>12.2023 - 07.2024</t>
  </si>
  <si>
    <t>Gmina Miejska Bielsk Podlaski</t>
  </si>
  <si>
    <t>Powiat bielski</t>
  </si>
  <si>
    <t>Przebudowa chodnika w ul. Grunwaldzkiej w Bielsku Podlaskim</t>
  </si>
  <si>
    <t>Przebudowa chodnika przy ul. Polnej w Dabrowie Białostockiej</t>
  </si>
  <si>
    <t>Budowa chodnika przy ul. Leśnej w Dąbrowie Białostockiej</t>
  </si>
  <si>
    <t>Budowa chodnika wzdłuż ulicy Kardynała Stefana Wyszyńskiego w Wasilkowie</t>
  </si>
  <si>
    <t>Powiat Wysokomazowiecki</t>
  </si>
  <si>
    <t>Budowa chodnika na odcinku drogi powiatowej 2057B Osipy-Kolonia - Stare Osipy - Osipy-Lepertowizna</t>
  </si>
  <si>
    <t>Powiat Siemiatycki</t>
  </si>
  <si>
    <t>Budowa ścieżki pieszo-rowerowej i chodnika w ciągu drogi powiatowej nr 1700B na odcinku Perlejewo-Granne</t>
  </si>
  <si>
    <t>Powiat Sejneński</t>
  </si>
  <si>
    <t>Budowa drogi dla pieszych ul. Mickiewicza w Sejnach</t>
  </si>
  <si>
    <t>Powiat Hajnowski</t>
  </si>
  <si>
    <t>Przebudowa chodników na odcinku DP nr 1620B w miejscowości Kuraszewo</t>
  </si>
  <si>
    <t>12.2023 - 09.2024</t>
  </si>
  <si>
    <t>Powiat Białostocki</t>
  </si>
  <si>
    <t>Poprawa bezpieczeństwa ruchu poprzez budowę wyniesionego skrzyżowania drogi powiatowej Nr 1507B z drogą powiatową Nr 1514B w m. Zimnochy-Susły</t>
  </si>
  <si>
    <t>Poprawa bezpieczeństwa niechronionych uczestników ruchu na ulicy Wojska Polskiego w Suwałkach</t>
  </si>
  <si>
    <t>Poprawa bezpieczeństwa ruchu poprzez budowę wyniesionego skrzyżowania drogi powiatowej Nr 1392B z drogą gminną Nr 105455B w m. Fasty</t>
  </si>
  <si>
    <t>Przebudowa nawierzchni drogi dla pieszych na ul. Łąkowej w Sejnach</t>
  </si>
  <si>
    <t>Powiat Grajewski</t>
  </si>
  <si>
    <t>Poprawa bezpieczeństwa pieszych i rowerzystów na DP nr 1813B - ul. Przemysłowej w Szczuczynie</t>
  </si>
  <si>
    <t>11.2023 - 10.2024</t>
  </si>
  <si>
    <t>Powiat Moniecki</t>
  </si>
  <si>
    <t>Budowa z rozbudową chodnika w ciągu drogi powiatowej Nr 1372B w miejscowości Rekle</t>
  </si>
  <si>
    <t>Poprawa bezpieczeństwa niechronionych uczestników ruchu w obrębie dr. Nr 2355B ulica Kolejowa i dr. 1416B</t>
  </si>
  <si>
    <t>Poprawa bezpieczeństwa niechronionych uczestników ruchu w obrębie dr. Nr 2358B ul. Leśna</t>
  </si>
  <si>
    <t>Przejścia dla pieszych wraz z rozbudową chodnika w ciągu drogi powiatowej Nr 1366B w miejscowości Sobieski</t>
  </si>
  <si>
    <t>Budowa z rozbudową chodnika w ciągu drogi powiatowej Nr 2368B ul. Szkolna w Mońkach</t>
  </si>
  <si>
    <t>Budowa chodnika przy ul. Kopernika w Dabrowie Białostockiej</t>
  </si>
  <si>
    <t>Budowa chodnika przy ul. Orzeszkowej w Dabrowie Białostockiej</t>
  </si>
  <si>
    <t>Powiat Sokólski</t>
  </si>
  <si>
    <t>Budowa drogi dla pieszych i rowerów na odcinku drogi powiatowej 2115B na terenie Gminy Sokółka w powiecie sokólskim</t>
  </si>
  <si>
    <t>Przebudowa chodników przy ul. Zawilcowej w Augustowie</t>
  </si>
  <si>
    <t>Budowa wyniesionego przejścia na ul. I Pułku Ułanów Krechowieckich w Augustowie</t>
  </si>
  <si>
    <t>Budowa drogi dla pieszych i rowerów oraz drogi dla pieszych wraz z przejściem w miejscowości Pogorzelec</t>
  </si>
  <si>
    <t>Budowa drogi dla pieszych i rowerów oraz przejścia dla pieszych w ciągu drogi 102322B Pogorzelec - Sarnetki</t>
  </si>
  <si>
    <t>Budowa drogi dla pieszych wraz z przejściem w miejscowości Frącki</t>
  </si>
  <si>
    <t>Budowa drogi dl apieszych i drogi dla rowerów wraz z odwodnieniem z msc. Stary Folwark</t>
  </si>
  <si>
    <t>Budowa ścieżki pieszo - rowerowej przy ul. Armii Krajowej w Dąbrowie Białostockiej</t>
  </si>
  <si>
    <t>Gmina Sokółka</t>
  </si>
  <si>
    <t>Poprawa bezpieczeństwa niechronionych uczestników ruchu drogowego na skrzyżowaniu ul. 3-go Maja z ul. Ogrodową w Sokółce</t>
  </si>
  <si>
    <t>12.2023 -11.2024</t>
  </si>
  <si>
    <t>Poprawa bezpieczeństwa niechronionych uczestników ruchu drogowego na skrzyżowaniu ul. Dąbrowskiego z ul. Witosa w Sokółce</t>
  </si>
  <si>
    <t>Gmina Łomża</t>
  </si>
  <si>
    <t>Powiat lomżyński</t>
  </si>
  <si>
    <t>Remont drogi dla pieszych przy ul. Łomżyńskiej w miejscowości Konarzyce</t>
  </si>
  <si>
    <t>R</t>
  </si>
  <si>
    <r>
      <t>14</t>
    </r>
    <r>
      <rPr>
        <b/>
        <sz val="16"/>
        <color theme="5"/>
        <rFont val="Arial"/>
        <family val="2"/>
        <charset val="238"/>
      </rPr>
      <t>*</t>
    </r>
  </si>
  <si>
    <t>Lista zadań rekomendowanych mających na celu wyłącznie poprawę bezpieczeństwa niechronionych uczestników ruchu, polegających w szczególności na budowie, przebudowie lub remoncie dróg dla pieszych, dróg dla pieszych i rowerów, dróg dla rowerów, przejść dla pieszych, przejazdów dla rowerów, peronów przystankowych wraz z dojściami do tych peronów do dofinansowania w ramach Rządowego Funduszu Rozwoju Dróg -  nabór uzupełniający</t>
  </si>
  <si>
    <t>Poprawa bezpieczeństwa niechronionych uczestników ruchu drogowego na skrzyżowaniu ul. Dąbrowskiego z ul. Sikorskiego w Sokółce</t>
  </si>
  <si>
    <r>
      <t>17</t>
    </r>
    <r>
      <rPr>
        <b/>
        <sz val="16"/>
        <color theme="5"/>
        <rFont val="Arial"/>
        <family val="2"/>
        <charset val="238"/>
      </rPr>
      <t>*</t>
    </r>
  </si>
  <si>
    <r>
      <t>1</t>
    </r>
    <r>
      <rPr>
        <b/>
        <sz val="16"/>
        <color theme="5"/>
        <rFont val="Arial"/>
        <family val="2"/>
        <charset val="238"/>
      </rPr>
      <t>*</t>
    </r>
  </si>
  <si>
    <r>
      <t>13</t>
    </r>
    <r>
      <rPr>
        <b/>
        <sz val="16"/>
        <color theme="5"/>
        <rFont val="Arial"/>
        <family val="2"/>
        <charset val="238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</si>
</sst>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zł&quot;;[Red]\-#,##0.00\ &quot;zł&quot;"/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  <numFmt numFmtId="167" formatCode="0.0"/>
  </numFmts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5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</cellStyleXfs>
  <cellXfs count="12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0" fillId="0" borderId="0" xfId="0" applyFill="1"/>
    <xf numFmtId="0" fontId="2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wrapText="1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Alignment="1"/>
    <xf numFmtId="0" fontId="8" fillId="0" borderId="0" xfId="0" applyFont="1" applyBorder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8" fillId="0" borderId="0" xfId="0" applyNumberFormat="1" applyFont="1" applyFill="1" applyBorder="1" applyAlignment="1"/>
    <xf numFmtId="4" fontId="8" fillId="0" borderId="0" xfId="0" applyNumberFormat="1" applyFont="1" applyBorder="1" applyAlignment="1"/>
    <xf numFmtId="0" fontId="8" fillId="0" borderId="0" xfId="0" applyFont="1" applyBorder="1"/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1" fillId="0" borderId="0" xfId="0" applyFont="1"/>
    <xf numFmtId="4" fontId="9" fillId="0" borderId="0" xfId="0" applyNumberFormat="1" applyFont="1" applyFill="1" applyBorder="1" applyAlignment="1">
      <alignment vertical="top"/>
    </xf>
    <xf numFmtId="4" fontId="9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3" fillId="0" borderId="0" xfId="1" applyFont="1" applyFill="1" applyAlignment="1">
      <alignment vertical="center"/>
    </xf>
    <xf numFmtId="0" fontId="3" fillId="0" borderId="0" xfId="0" applyFont="1"/>
    <xf numFmtId="0" fontId="14" fillId="0" borderId="0" xfId="0" applyFont="1"/>
    <xf numFmtId="4" fontId="8" fillId="0" borderId="0" xfId="0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165" fontId="18" fillId="2" borderId="1" xfId="0" applyNumberFormat="1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4" fontId="17" fillId="0" borderId="1" xfId="0" applyNumberFormat="1" applyFont="1" applyFill="1" applyBorder="1" applyAlignment="1">
      <alignment horizontal="right" vertical="center" wrapText="1"/>
    </xf>
    <xf numFmtId="4" fontId="17" fillId="0" borderId="1" xfId="0" applyNumberFormat="1" applyFont="1" applyBorder="1" applyAlignment="1">
      <alignment horizontal="right" vertical="center" wrapText="1"/>
    </xf>
    <xf numFmtId="9" fontId="18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15" fillId="3" borderId="21" xfId="0" applyNumberFormat="1" applyFont="1" applyFill="1" applyBorder="1" applyAlignment="1">
      <alignment vertical="center"/>
    </xf>
    <xf numFmtId="164" fontId="15" fillId="3" borderId="22" xfId="0" applyNumberFormat="1" applyFont="1" applyFill="1" applyBorder="1" applyAlignment="1">
      <alignment vertical="center"/>
    </xf>
    <xf numFmtId="164" fontId="15" fillId="4" borderId="17" xfId="0" applyNumberFormat="1" applyFont="1" applyFill="1" applyBorder="1" applyAlignment="1">
      <alignment vertical="center"/>
    </xf>
    <xf numFmtId="164" fontId="15" fillId="3" borderId="23" xfId="0" applyNumberFormat="1" applyFont="1" applyFill="1" applyBorder="1" applyAlignment="1">
      <alignment vertical="center"/>
    </xf>
    <xf numFmtId="164" fontId="12" fillId="4" borderId="17" xfId="0" applyNumberFormat="1" applyFont="1" applyFill="1" applyBorder="1" applyAlignment="1">
      <alignment vertical="center"/>
    </xf>
    <xf numFmtId="164" fontId="19" fillId="4" borderId="17" xfId="0" applyNumberFormat="1" applyFont="1" applyFill="1" applyBorder="1" applyAlignment="1">
      <alignment vertical="center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center" vertical="center"/>
    </xf>
    <xf numFmtId="164" fontId="19" fillId="3" borderId="23" xfId="0" applyNumberFormat="1" applyFont="1" applyFill="1" applyBorder="1" applyAlignment="1">
      <alignment vertical="center"/>
    </xf>
    <xf numFmtId="0" fontId="11" fillId="0" borderId="25" xfId="0" applyFont="1" applyFill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vertical="center"/>
    </xf>
    <xf numFmtId="0" fontId="15" fillId="3" borderId="21" xfId="0" applyNumberFormat="1" applyFont="1" applyFill="1" applyBorder="1" applyAlignment="1">
      <alignment vertical="center"/>
    </xf>
    <xf numFmtId="0" fontId="19" fillId="3" borderId="25" xfId="0" applyFont="1" applyFill="1" applyBorder="1" applyAlignment="1">
      <alignment vertical="center"/>
    </xf>
    <xf numFmtId="0" fontId="19" fillId="3" borderId="21" xfId="0" applyNumberFormat="1" applyFont="1" applyFill="1" applyBorder="1" applyAlignment="1">
      <alignment vertical="center"/>
    </xf>
    <xf numFmtId="164" fontId="19" fillId="3" borderId="21" xfId="0" applyNumberFormat="1" applyFont="1" applyFill="1" applyBorder="1" applyAlignment="1">
      <alignment vertical="center"/>
    </xf>
    <xf numFmtId="164" fontId="12" fillId="5" borderId="23" xfId="0" applyNumberFormat="1" applyFont="1" applyFill="1" applyBorder="1" applyAlignment="1">
      <alignment vertical="center"/>
    </xf>
    <xf numFmtId="0" fontId="12" fillId="5" borderId="25" xfId="0" applyFont="1" applyFill="1" applyBorder="1" applyAlignment="1">
      <alignment vertical="center"/>
    </xf>
    <xf numFmtId="0" fontId="12" fillId="5" borderId="21" xfId="0" applyNumberFormat="1" applyFont="1" applyFill="1" applyBorder="1" applyAlignment="1">
      <alignment vertical="center"/>
    </xf>
    <xf numFmtId="164" fontId="12" fillId="5" borderId="21" xfId="0" applyNumberFormat="1" applyFont="1" applyFill="1" applyBorder="1" applyAlignment="1">
      <alignment vertical="center"/>
    </xf>
    <xf numFmtId="164" fontId="19" fillId="3" borderId="22" xfId="0" applyNumberFormat="1" applyFont="1" applyFill="1" applyBorder="1" applyAlignment="1">
      <alignment vertical="center"/>
    </xf>
    <xf numFmtId="164" fontId="12" fillId="5" borderId="22" xfId="0" applyNumberFormat="1" applyFont="1" applyFill="1" applyBorder="1" applyAlignment="1">
      <alignment vertical="center"/>
    </xf>
    <xf numFmtId="0" fontId="11" fillId="3" borderId="21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2" fillId="5" borderId="21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5" xfId="0" applyNumberFormat="1" applyFont="1" applyFill="1" applyBorder="1" applyAlignment="1">
      <alignment vertical="center"/>
    </xf>
    <xf numFmtId="164" fontId="12" fillId="0" borderId="15" xfId="0" applyNumberFormat="1" applyFont="1" applyFill="1" applyBorder="1" applyAlignment="1">
      <alignment vertical="center"/>
    </xf>
    <xf numFmtId="164" fontId="12" fillId="0" borderId="16" xfId="0" applyNumberFormat="1" applyFont="1" applyFill="1" applyBorder="1" applyAlignment="1">
      <alignment vertical="center"/>
    </xf>
    <xf numFmtId="164" fontId="12" fillId="0" borderId="18" xfId="0" applyNumberFormat="1" applyFont="1" applyFill="1" applyBorder="1" applyAlignment="1">
      <alignment vertical="center"/>
    </xf>
    <xf numFmtId="0" fontId="12" fillId="0" borderId="20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NumberFormat="1" applyFont="1" applyFill="1" applyBorder="1" applyAlignment="1">
      <alignment vertical="center"/>
    </xf>
    <xf numFmtId="164" fontId="12" fillId="0" borderId="3" xfId="0" applyNumberFormat="1" applyFont="1" applyFill="1" applyBorder="1" applyAlignment="1">
      <alignment vertical="center"/>
    </xf>
    <xf numFmtId="164" fontId="12" fillId="0" borderId="5" xfId="0" applyNumberFormat="1" applyFont="1" applyFill="1" applyBorder="1" applyAlignment="1">
      <alignment vertical="center"/>
    </xf>
    <xf numFmtId="164" fontId="12" fillId="2" borderId="24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3" fontId="18" fillId="2" borderId="1" xfId="0" applyNumberFormat="1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left" vertical="center" wrapText="1"/>
    </xf>
    <xf numFmtId="166" fontId="20" fillId="0" borderId="1" xfId="0" applyNumberFormat="1" applyFont="1" applyFill="1" applyBorder="1" applyAlignment="1">
      <alignment horizontal="center" vertical="center"/>
    </xf>
    <xf numFmtId="167" fontId="20" fillId="0" borderId="1" xfId="0" applyNumberFormat="1" applyFont="1" applyFill="1" applyBorder="1" applyAlignment="1">
      <alignment horizontal="center" vertical="center"/>
    </xf>
    <xf numFmtId="8" fontId="20" fillId="0" borderId="1" xfId="0" applyNumberFormat="1" applyFont="1" applyFill="1" applyBorder="1" applyAlignment="1">
      <alignment vertical="center"/>
    </xf>
    <xf numFmtId="4" fontId="18" fillId="0" borderId="2" xfId="0" applyNumberFormat="1" applyFont="1" applyFill="1" applyBorder="1" applyAlignment="1">
      <alignment vertical="center"/>
    </xf>
    <xf numFmtId="4" fontId="18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horizontal="center" vertical="center"/>
    </xf>
    <xf numFmtId="165" fontId="21" fillId="2" borderId="1" xfId="0" applyNumberFormat="1" applyFont="1" applyFill="1" applyBorder="1" applyAlignment="1">
      <alignment horizontal="center" vertical="center"/>
    </xf>
    <xf numFmtId="3" fontId="21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9" fontId="21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horizontal="righ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9" fontId="13" fillId="0" borderId="1" xfId="0" applyNumberFormat="1" applyFont="1" applyFill="1" applyBorder="1" applyAlignment="1">
      <alignment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22" fillId="0" borderId="1" xfId="0" applyFont="1" applyFill="1" applyBorder="1" applyAlignment="1">
      <alignment horizontal="center" vertical="center" wrapText="1" shrinkToFit="1"/>
    </xf>
    <xf numFmtId="165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 shrinkToFit="1"/>
    </xf>
  </cellXfs>
  <cellStyles count="6">
    <cellStyle name="Dziesiętny 2" xfId="4" xr:uid="{00000000-0005-0000-0000-000000000000}"/>
    <cellStyle name="Normalny" xfId="0" builtinId="0"/>
    <cellStyle name="Normalny 2" xfId="3" xr:uid="{00000000-0005-0000-0000-000002000000}"/>
    <cellStyle name="Normalny 2 2" xfId="5" xr:uid="{00000000-0005-0000-0000-000003000000}"/>
    <cellStyle name="Normalny 3" xfId="1" xr:uid="{00000000-0005-0000-0000-000004000000}"/>
    <cellStyle name="Procentowy 2" xfId="2" xr:uid="{00000000-0005-0000-0000-000006000000}"/>
  </cellStyles>
  <dxfs count="4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>
      <selection sqref="A1:G4"/>
    </sheetView>
  </sheetViews>
  <sheetFormatPr defaultColWidth="9.140625" defaultRowHeight="15" x14ac:dyDescent="0.25"/>
  <cols>
    <col min="1" max="2" width="32.140625" style="11" customWidth="1"/>
    <col min="3" max="3" width="10.7109375" style="11" customWidth="1"/>
    <col min="4" max="4" width="20.7109375" style="11" customWidth="1"/>
    <col min="5" max="5" width="22.7109375" style="11" customWidth="1"/>
    <col min="6" max="6" width="20.7109375" style="11" customWidth="1"/>
    <col min="7" max="7" width="20.28515625" style="11" customWidth="1"/>
    <col min="8" max="8" width="9.140625" style="11"/>
    <col min="9" max="9" width="9.140625" style="11" customWidth="1"/>
    <col min="10" max="16384" width="9.140625" style="3"/>
  </cols>
  <sheetData>
    <row r="1" spans="1:16" s="8" customFormat="1" ht="18.95" customHeight="1" x14ac:dyDescent="0.3">
      <c r="A1" s="112" t="s">
        <v>140</v>
      </c>
      <c r="B1" s="112"/>
      <c r="C1" s="112"/>
      <c r="D1" s="112"/>
      <c r="E1" s="112"/>
      <c r="F1" s="112"/>
      <c r="G1" s="112"/>
      <c r="H1" s="6"/>
      <c r="I1" s="6"/>
      <c r="J1" s="7"/>
      <c r="K1" s="7"/>
      <c r="L1" s="7"/>
      <c r="M1" s="7"/>
      <c r="N1" s="7"/>
      <c r="O1" s="7"/>
      <c r="P1" s="7"/>
    </row>
    <row r="2" spans="1:16" ht="18.95" customHeight="1" x14ac:dyDescent="0.25">
      <c r="A2" s="112"/>
      <c r="B2" s="112"/>
      <c r="C2" s="112"/>
      <c r="D2" s="112"/>
      <c r="E2" s="112"/>
      <c r="F2" s="112"/>
      <c r="G2" s="112"/>
      <c r="H2" s="9"/>
      <c r="I2" s="9"/>
      <c r="J2" s="10"/>
      <c r="K2" s="10"/>
      <c r="L2" s="10"/>
      <c r="M2" s="10"/>
      <c r="N2" s="10"/>
      <c r="O2" s="10"/>
      <c r="P2" s="10"/>
    </row>
    <row r="3" spans="1:16" ht="18.95" customHeight="1" x14ac:dyDescent="0.25">
      <c r="A3" s="112"/>
      <c r="B3" s="112"/>
      <c r="C3" s="112"/>
      <c r="D3" s="112"/>
      <c r="E3" s="112"/>
      <c r="F3" s="112"/>
      <c r="G3" s="112"/>
      <c r="P3" s="10"/>
    </row>
    <row r="4" spans="1:16" ht="18.95" customHeight="1" x14ac:dyDescent="0.25">
      <c r="A4" s="112"/>
      <c r="B4" s="112"/>
      <c r="C4" s="112"/>
      <c r="D4" s="112"/>
      <c r="E4" s="112"/>
      <c r="F4" s="112"/>
      <c r="G4" s="112"/>
      <c r="P4" s="14"/>
    </row>
    <row r="5" spans="1:16" x14ac:dyDescent="0.25">
      <c r="B5" s="13"/>
      <c r="C5" s="13"/>
      <c r="D5" s="13"/>
      <c r="E5" s="13"/>
      <c r="F5" s="13"/>
      <c r="P5" s="10"/>
    </row>
    <row r="6" spans="1:16" x14ac:dyDescent="0.25">
      <c r="A6" s="12" t="s">
        <v>46</v>
      </c>
      <c r="B6" s="12"/>
      <c r="C6" s="13"/>
      <c r="D6" s="13"/>
      <c r="E6" s="13"/>
      <c r="F6" s="13"/>
      <c r="P6" s="14"/>
    </row>
    <row r="7" spans="1:16" x14ac:dyDescent="0.25">
      <c r="A7" s="12" t="s">
        <v>47</v>
      </c>
      <c r="B7" s="12"/>
      <c r="C7" s="13"/>
      <c r="D7" s="13"/>
      <c r="E7" s="13"/>
      <c r="F7" s="13"/>
      <c r="P7" s="14"/>
    </row>
    <row r="8" spans="1:16" ht="15.75" thickBot="1" x14ac:dyDescent="0.3">
      <c r="B8" s="12"/>
      <c r="C8" s="13"/>
      <c r="D8" s="13"/>
      <c r="E8" s="13"/>
      <c r="F8" s="13"/>
      <c r="P8" s="14"/>
    </row>
    <row r="9" spans="1:16" x14ac:dyDescent="0.25">
      <c r="B9" s="103" t="s">
        <v>14</v>
      </c>
      <c r="C9" s="104"/>
      <c r="D9" s="104"/>
      <c r="E9" s="104"/>
      <c r="F9" s="105"/>
      <c r="P9" s="14"/>
    </row>
    <row r="10" spans="1:16" x14ac:dyDescent="0.25">
      <c r="B10" s="106"/>
      <c r="C10" s="107"/>
      <c r="D10" s="107"/>
      <c r="E10" s="107"/>
      <c r="F10" s="108"/>
      <c r="P10" s="14"/>
    </row>
    <row r="11" spans="1:16" x14ac:dyDescent="0.25">
      <c r="B11" s="106"/>
      <c r="C11" s="107"/>
      <c r="D11" s="107"/>
      <c r="E11" s="107"/>
      <c r="F11" s="108"/>
      <c r="P11" s="14"/>
    </row>
    <row r="12" spans="1:16" x14ac:dyDescent="0.25">
      <c r="B12" s="106"/>
      <c r="C12" s="107"/>
      <c r="D12" s="107"/>
      <c r="E12" s="107"/>
      <c r="F12" s="108"/>
      <c r="P12" s="14"/>
    </row>
    <row r="13" spans="1:16" x14ac:dyDescent="0.25">
      <c r="B13" s="106"/>
      <c r="C13" s="107"/>
      <c r="D13" s="107"/>
      <c r="E13" s="107"/>
      <c r="F13" s="108"/>
      <c r="P13" s="14"/>
    </row>
    <row r="14" spans="1:16" ht="15.75" thickBot="1" x14ac:dyDescent="0.3">
      <c r="B14" s="109" t="s">
        <v>15</v>
      </c>
      <c r="C14" s="110"/>
      <c r="D14" s="110"/>
      <c r="E14" s="110"/>
      <c r="F14" s="111"/>
      <c r="P14" s="10"/>
    </row>
    <row r="15" spans="1:16" x14ac:dyDescent="0.25">
      <c r="B15" s="13"/>
      <c r="C15" s="13"/>
      <c r="D15" s="13"/>
      <c r="E15" s="13"/>
      <c r="F15" s="13"/>
      <c r="P15" s="10"/>
    </row>
    <row r="16" spans="1:16" ht="20.100000000000001" customHeight="1" thickBot="1" x14ac:dyDescent="0.3">
      <c r="A16" s="12" t="s">
        <v>0</v>
      </c>
      <c r="B16" s="12"/>
      <c r="C16" s="13"/>
      <c r="D16" s="13"/>
      <c r="E16" s="13"/>
      <c r="F16" s="13"/>
      <c r="G16" s="15"/>
      <c r="P16" s="10"/>
    </row>
    <row r="17" spans="1:16" ht="32.25" customHeight="1" thickBot="1" x14ac:dyDescent="0.3">
      <c r="A17" s="53" t="s">
        <v>1</v>
      </c>
      <c r="B17" s="54" t="s">
        <v>11</v>
      </c>
      <c r="C17" s="48" t="s">
        <v>28</v>
      </c>
      <c r="D17" s="48" t="s">
        <v>16</v>
      </c>
      <c r="E17" s="49" t="s">
        <v>17</v>
      </c>
      <c r="F17" s="50" t="s">
        <v>18</v>
      </c>
      <c r="G17" s="51">
        <v>2023</v>
      </c>
      <c r="H17" s="27"/>
      <c r="I17" s="27"/>
      <c r="J17" s="2"/>
      <c r="K17" s="2"/>
      <c r="L17" s="2"/>
      <c r="M17" s="2"/>
      <c r="P17" s="10"/>
    </row>
    <row r="18" spans="1:16" ht="39.950000000000003" customHeight="1" thickBot="1" x14ac:dyDescent="0.3">
      <c r="A18" s="69" t="s">
        <v>29</v>
      </c>
      <c r="B18" s="70" t="s">
        <v>30</v>
      </c>
      <c r="C18" s="71">
        <f>COUNTIF('pow podst'!P3:P16,"&gt;0")</f>
        <v>14</v>
      </c>
      <c r="D18" s="72">
        <f>SUM('pow podst'!O3:O16)</f>
        <v>9263398.2300000004</v>
      </c>
      <c r="E18" s="73">
        <f>SUM('pow podst'!Q3:Q16)</f>
        <v>1890655.93</v>
      </c>
      <c r="F18" s="46">
        <f>SUM('pow podst'!P3:P16)</f>
        <v>7372742.2999999998</v>
      </c>
      <c r="G18" s="74">
        <f>SUM('pow podst'!S3:S16)</f>
        <v>7372742.2999999998</v>
      </c>
      <c r="H18" s="16" t="b">
        <f t="shared" ref="H18:H24" si="0">D18=(E18+F18)</f>
        <v>1</v>
      </c>
      <c r="I18" s="31" t="b">
        <f t="shared" ref="I18:I24" si="1">F18=SUM(G18:G18)</f>
        <v>1</v>
      </c>
      <c r="J18" s="17"/>
      <c r="K18" s="17"/>
      <c r="L18" s="18"/>
      <c r="M18" s="18"/>
      <c r="N18" s="19"/>
      <c r="O18" s="10"/>
      <c r="P18" s="10"/>
    </row>
    <row r="19" spans="1:16" ht="39.950000000000003" customHeight="1" thickBot="1" x14ac:dyDescent="0.3">
      <c r="A19" s="75" t="s">
        <v>31</v>
      </c>
      <c r="B19" s="76" t="s">
        <v>30</v>
      </c>
      <c r="C19" s="77">
        <f>COUNTIF('gm podst'!Q3:Q19,"&gt;0")</f>
        <v>17</v>
      </c>
      <c r="D19" s="78">
        <f>SUM('gm podst'!P3:P19)</f>
        <v>9310969.3399999999</v>
      </c>
      <c r="E19" s="79">
        <f>SUM('gm podst'!R3:R19)</f>
        <v>1938227.05</v>
      </c>
      <c r="F19" s="46">
        <f>SUM('gm podst'!Q3:Q19)</f>
        <v>7372742.290000001</v>
      </c>
      <c r="G19" s="80">
        <f>SUM('gm podst'!T3:T19)</f>
        <v>7372742.290000001</v>
      </c>
      <c r="H19" s="16" t="b">
        <f t="shared" si="0"/>
        <v>1</v>
      </c>
      <c r="I19" s="31" t="b">
        <f t="shared" si="1"/>
        <v>1</v>
      </c>
      <c r="J19" s="17"/>
      <c r="K19" s="17"/>
      <c r="L19" s="18"/>
      <c r="M19" s="18"/>
      <c r="N19" s="18"/>
      <c r="O19" s="18"/>
      <c r="P19" s="18"/>
    </row>
    <row r="20" spans="1:16" s="22" customFormat="1" ht="39.950000000000003" customHeight="1" thickBot="1" x14ac:dyDescent="0.3">
      <c r="A20" s="55" t="s">
        <v>32</v>
      </c>
      <c r="B20" s="66" t="s">
        <v>30</v>
      </c>
      <c r="C20" s="56">
        <f>C18+C19</f>
        <v>31</v>
      </c>
      <c r="D20" s="42">
        <f>D18+D19</f>
        <v>18574367.57</v>
      </c>
      <c r="E20" s="43">
        <f>E18+E19</f>
        <v>3828882.98</v>
      </c>
      <c r="F20" s="44">
        <f>F18+F19</f>
        <v>14745484.59</v>
      </c>
      <c r="G20" s="45">
        <f>G18+G19</f>
        <v>14745484.59</v>
      </c>
      <c r="H20" s="16" t="b">
        <f t="shared" si="0"/>
        <v>1</v>
      </c>
      <c r="I20" s="31" t="b">
        <f t="shared" si="1"/>
        <v>1</v>
      </c>
      <c r="J20" s="20"/>
      <c r="K20" s="20"/>
      <c r="L20" s="21"/>
      <c r="M20" s="21"/>
      <c r="N20" s="21"/>
      <c r="O20" s="21"/>
      <c r="P20" s="21"/>
    </row>
    <row r="21" spans="1:16" ht="39.950000000000003" customHeight="1" thickBot="1" x14ac:dyDescent="0.3">
      <c r="A21" s="69" t="s">
        <v>2</v>
      </c>
      <c r="B21" s="70" t="s">
        <v>30</v>
      </c>
      <c r="C21" s="71">
        <f>COUNTIF('pow rez'!P3:P3,"&gt;0")</f>
        <v>1</v>
      </c>
      <c r="D21" s="72">
        <f>SUM('pow rez'!O3:O3)</f>
        <v>7665000</v>
      </c>
      <c r="E21" s="73">
        <f>SUM('pow rez'!Q3:Q3)</f>
        <v>2135443.2800000003</v>
      </c>
      <c r="F21" s="46">
        <f>SUM('pow rez'!P3:P3)</f>
        <v>5529556.7199999997</v>
      </c>
      <c r="G21" s="74">
        <f>SUM('pow rez'!S3:S3)</f>
        <v>5529556.7199999997</v>
      </c>
      <c r="H21" s="16" t="b">
        <f t="shared" si="0"/>
        <v>1</v>
      </c>
      <c r="I21" s="31" t="b">
        <f t="shared" si="1"/>
        <v>1</v>
      </c>
      <c r="J21" s="17"/>
      <c r="K21" s="17"/>
      <c r="L21" s="18"/>
      <c r="M21" s="18"/>
      <c r="N21" s="18"/>
      <c r="O21" s="18"/>
      <c r="P21" s="18"/>
    </row>
    <row r="22" spans="1:16" ht="39.950000000000003" customHeight="1" thickBot="1" x14ac:dyDescent="0.3">
      <c r="A22" s="75" t="s">
        <v>3</v>
      </c>
      <c r="B22" s="76" t="s">
        <v>30</v>
      </c>
      <c r="C22" s="77">
        <f>COUNTIF('gm rez'!Q3:Q15,"&gt;0")</f>
        <v>13</v>
      </c>
      <c r="D22" s="78">
        <f>SUM('gm rez'!P3:P15)</f>
        <v>7070942.3200000003</v>
      </c>
      <c r="E22" s="79">
        <f>SUM('gm rez'!R3:R15)</f>
        <v>1541385.6</v>
      </c>
      <c r="F22" s="46">
        <f>SUM('gm rez'!Q3:Q15)</f>
        <v>5529556.7199999997</v>
      </c>
      <c r="G22" s="80">
        <f>SUM('gm rez'!T3:T15)</f>
        <v>5529556.7199999997</v>
      </c>
      <c r="H22" s="16" t="b">
        <f t="shared" si="0"/>
        <v>1</v>
      </c>
      <c r="I22" s="31" t="b">
        <f t="shared" si="1"/>
        <v>1</v>
      </c>
      <c r="J22" s="23"/>
      <c r="K22" s="23"/>
      <c r="L22" s="24"/>
      <c r="M22" s="24"/>
      <c r="N22" s="19"/>
      <c r="O22" s="10"/>
      <c r="P22" s="10"/>
    </row>
    <row r="23" spans="1:16" ht="39.950000000000003" customHeight="1" thickBot="1" x14ac:dyDescent="0.3">
      <c r="A23" s="57" t="s">
        <v>19</v>
      </c>
      <c r="B23" s="67" t="s">
        <v>30</v>
      </c>
      <c r="C23" s="58">
        <f>C21+C22</f>
        <v>14</v>
      </c>
      <c r="D23" s="59">
        <f>D21+D22</f>
        <v>14735942.32</v>
      </c>
      <c r="E23" s="64">
        <f>E21+E22</f>
        <v>3676828.8800000004</v>
      </c>
      <c r="F23" s="47">
        <f>F21+F22</f>
        <v>11059113.439999999</v>
      </c>
      <c r="G23" s="52">
        <f>G21+G22</f>
        <v>11059113.439999999</v>
      </c>
      <c r="H23" s="16" t="b">
        <f t="shared" si="0"/>
        <v>1</v>
      </c>
      <c r="I23" s="31" t="b">
        <f t="shared" si="1"/>
        <v>1</v>
      </c>
      <c r="J23" s="25"/>
      <c r="K23" s="25"/>
      <c r="L23" s="2"/>
      <c r="M23" s="2"/>
    </row>
    <row r="24" spans="1:16" ht="39.950000000000003" customHeight="1" thickBot="1" x14ac:dyDescent="0.3">
      <c r="A24" s="61" t="s">
        <v>27</v>
      </c>
      <c r="B24" s="68" t="s">
        <v>30</v>
      </c>
      <c r="C24" s="62">
        <f>C20+C23</f>
        <v>45</v>
      </c>
      <c r="D24" s="63">
        <f>D20+D23</f>
        <v>33310309.890000001</v>
      </c>
      <c r="E24" s="65">
        <f>E20+E23</f>
        <v>7505711.8600000003</v>
      </c>
      <c r="F24" s="46">
        <f>F20+F23</f>
        <v>25804598.030000001</v>
      </c>
      <c r="G24" s="60">
        <f>G20+G23</f>
        <v>25804598.030000001</v>
      </c>
      <c r="H24" s="16" t="b">
        <f t="shared" si="0"/>
        <v>1</v>
      </c>
      <c r="I24" s="31" t="b">
        <f t="shared" si="1"/>
        <v>1</v>
      </c>
      <c r="J24" s="25"/>
      <c r="K24" s="25"/>
      <c r="L24" s="2"/>
      <c r="M24" s="2"/>
    </row>
    <row r="25" spans="1:16" x14ac:dyDescent="0.25">
      <c r="A25" s="26"/>
      <c r="B25" s="26"/>
      <c r="C25" s="26" t="b">
        <f>C18+C19=C20</f>
        <v>1</v>
      </c>
      <c r="D25" s="26" t="b">
        <f t="shared" ref="D25:G25" si="2">D18+D19=D20</f>
        <v>1</v>
      </c>
      <c r="E25" s="26" t="b">
        <f t="shared" si="2"/>
        <v>1</v>
      </c>
      <c r="F25" s="26" t="b">
        <f t="shared" si="2"/>
        <v>1</v>
      </c>
      <c r="G25" s="26" t="b">
        <f t="shared" si="2"/>
        <v>1</v>
      </c>
      <c r="H25" s="26"/>
      <c r="I25" s="26"/>
      <c r="J25" s="25"/>
      <c r="K25" s="25"/>
      <c r="L25" s="2"/>
      <c r="M25" s="2"/>
    </row>
    <row r="26" spans="1:16" x14ac:dyDescent="0.25">
      <c r="A26" s="26"/>
      <c r="B26" s="26"/>
      <c r="C26" s="26" t="b">
        <f>C21+C22=C23</f>
        <v>1</v>
      </c>
      <c r="D26" s="26" t="b">
        <f t="shared" ref="D26:G26" si="3">D21+D22=D23</f>
        <v>1</v>
      </c>
      <c r="E26" s="26" t="b">
        <f t="shared" si="3"/>
        <v>1</v>
      </c>
      <c r="F26" s="26" t="b">
        <f t="shared" si="3"/>
        <v>1</v>
      </c>
      <c r="G26" s="26" t="b">
        <f t="shared" si="3"/>
        <v>1</v>
      </c>
      <c r="H26" s="26"/>
      <c r="I26" s="26"/>
      <c r="J26" s="25"/>
      <c r="K26" s="25"/>
      <c r="L26" s="2"/>
      <c r="M26" s="2"/>
    </row>
    <row r="27" spans="1:16" x14ac:dyDescent="0.25">
      <c r="C27" s="11" t="b">
        <f>C20+C23=C24</f>
        <v>1</v>
      </c>
      <c r="D27" s="11" t="b">
        <f t="shared" ref="D27:G27" si="4">D20+D23=D24</f>
        <v>1</v>
      </c>
      <c r="E27" s="11" t="b">
        <f t="shared" si="4"/>
        <v>1</v>
      </c>
      <c r="F27" s="11" t="b">
        <f t="shared" si="4"/>
        <v>1</v>
      </c>
      <c r="G27" s="11" t="b">
        <f t="shared" si="4"/>
        <v>1</v>
      </c>
    </row>
  </sheetData>
  <mergeCells count="3">
    <mergeCell ref="B9:F13"/>
    <mergeCell ref="B14:F14"/>
    <mergeCell ref="A1:G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&amp;LWojewództwo Podlaskie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22"/>
  <sheetViews>
    <sheetView showGridLines="0" view="pageBreakPreview" zoomScale="70" zoomScaleNormal="78" zoomScaleSheetLayoutView="70" workbookViewId="0">
      <selection sqref="A1:A2"/>
    </sheetView>
  </sheetViews>
  <sheetFormatPr defaultColWidth="9.140625" defaultRowHeight="15" x14ac:dyDescent="0.25"/>
  <cols>
    <col min="1" max="1" width="8.42578125" style="3" customWidth="1"/>
    <col min="2" max="2" width="11.85546875" style="3" customWidth="1"/>
    <col min="3" max="3" width="15.7109375" style="3" customWidth="1"/>
    <col min="4" max="4" width="19.42578125" style="3" customWidth="1"/>
    <col min="5" max="5" width="15.7109375" style="3" customWidth="1"/>
    <col min="6" max="6" width="63.28515625" style="3" customWidth="1"/>
    <col min="7" max="14" width="15.7109375" style="3" customWidth="1"/>
    <col min="15" max="15" width="15.7109375" style="4" customWidth="1"/>
    <col min="16" max="17" width="15.7109375" style="3" customWidth="1"/>
    <col min="18" max="18" width="15.7109375" style="1" customWidth="1"/>
    <col min="19" max="19" width="15.7109375" style="3" customWidth="1"/>
    <col min="20" max="20" width="15.7109375" style="32" customWidth="1"/>
    <col min="21" max="22" width="15.7109375" style="1" customWidth="1"/>
    <col min="23" max="23" width="15.7109375" style="32" customWidth="1"/>
    <col min="24" max="16384" width="9.140625" style="3"/>
  </cols>
  <sheetData>
    <row r="1" spans="1:23" ht="33.75" customHeight="1" x14ac:dyDescent="0.25">
      <c r="A1" s="114" t="s">
        <v>4</v>
      </c>
      <c r="B1" s="114" t="s">
        <v>5</v>
      </c>
      <c r="C1" s="115" t="s">
        <v>36</v>
      </c>
      <c r="D1" s="117" t="s">
        <v>6</v>
      </c>
      <c r="E1" s="117" t="s">
        <v>26</v>
      </c>
      <c r="F1" s="117" t="s">
        <v>7</v>
      </c>
      <c r="G1" s="114" t="s">
        <v>21</v>
      </c>
      <c r="H1" s="123" t="s">
        <v>44</v>
      </c>
      <c r="I1" s="124"/>
      <c r="J1" s="125"/>
      <c r="K1" s="123" t="s">
        <v>40</v>
      </c>
      <c r="L1" s="124"/>
      <c r="M1" s="125"/>
      <c r="N1" s="114" t="s">
        <v>20</v>
      </c>
      <c r="O1" s="113" t="s">
        <v>8</v>
      </c>
      <c r="P1" s="114" t="s">
        <v>13</v>
      </c>
      <c r="Q1" s="117" t="s">
        <v>10</v>
      </c>
      <c r="R1" s="114" t="s">
        <v>9</v>
      </c>
      <c r="S1" s="81" t="s">
        <v>35</v>
      </c>
      <c r="T1" s="1"/>
    </row>
    <row r="2" spans="1:23" ht="48" customHeight="1" x14ac:dyDescent="0.25">
      <c r="A2" s="114"/>
      <c r="B2" s="114"/>
      <c r="C2" s="116"/>
      <c r="D2" s="118"/>
      <c r="E2" s="118"/>
      <c r="F2" s="118"/>
      <c r="G2" s="114"/>
      <c r="H2" s="81" t="s">
        <v>41</v>
      </c>
      <c r="I2" s="81" t="s">
        <v>42</v>
      </c>
      <c r="J2" s="81" t="s">
        <v>43</v>
      </c>
      <c r="K2" s="81" t="s">
        <v>37</v>
      </c>
      <c r="L2" s="81" t="s">
        <v>38</v>
      </c>
      <c r="M2" s="81" t="s">
        <v>39</v>
      </c>
      <c r="N2" s="114"/>
      <c r="O2" s="113"/>
      <c r="P2" s="114"/>
      <c r="Q2" s="118"/>
      <c r="R2" s="114"/>
      <c r="S2" s="81">
        <v>2023</v>
      </c>
      <c r="T2" s="1" t="s">
        <v>22</v>
      </c>
      <c r="U2" s="1" t="s">
        <v>23</v>
      </c>
      <c r="V2" s="1" t="s">
        <v>24</v>
      </c>
      <c r="W2" s="33" t="s">
        <v>25</v>
      </c>
    </row>
    <row r="3" spans="1:23" ht="40.700000000000003" customHeight="1" x14ac:dyDescent="0.25">
      <c r="A3" s="91">
        <v>1</v>
      </c>
      <c r="B3" s="83">
        <v>27</v>
      </c>
      <c r="C3" s="92" t="s">
        <v>49</v>
      </c>
      <c r="D3" s="83" t="s">
        <v>69</v>
      </c>
      <c r="E3" s="83">
        <v>2063011</v>
      </c>
      <c r="F3" s="85" t="s">
        <v>108</v>
      </c>
      <c r="G3" s="83" t="s">
        <v>61</v>
      </c>
      <c r="H3" s="86">
        <v>0</v>
      </c>
      <c r="I3" s="86">
        <v>0</v>
      </c>
      <c r="J3" s="86">
        <v>0</v>
      </c>
      <c r="K3" s="87">
        <v>1</v>
      </c>
      <c r="L3" s="87">
        <v>1</v>
      </c>
      <c r="M3" s="87">
        <v>0</v>
      </c>
      <c r="N3" s="86" t="s">
        <v>72</v>
      </c>
      <c r="O3" s="88">
        <v>80000</v>
      </c>
      <c r="P3" s="89">
        <f t="shared" ref="P3:P15" si="0">ROUNDDOWN(O3*R3,2)</f>
        <v>64000</v>
      </c>
      <c r="Q3" s="90">
        <f t="shared" ref="Q3:Q15" si="1">O3-P3</f>
        <v>16000</v>
      </c>
      <c r="R3" s="93">
        <v>0.8</v>
      </c>
      <c r="S3" s="90">
        <f t="shared" ref="S3:S15" si="2">P3</f>
        <v>64000</v>
      </c>
      <c r="T3" s="1" t="b">
        <f>P3=SUM(S3:S3)</f>
        <v>1</v>
      </c>
      <c r="U3" s="34">
        <f>ROUND(P3/O3,4)</f>
        <v>0.8</v>
      </c>
      <c r="V3" s="35" t="b">
        <f t="shared" ref="V3" si="3">U3=R3</f>
        <v>1</v>
      </c>
      <c r="W3" s="35" t="b">
        <f t="shared" ref="W3:W17" si="4">O3=P3+Q3</f>
        <v>1</v>
      </c>
    </row>
    <row r="4" spans="1:23" ht="40.700000000000003" customHeight="1" x14ac:dyDescent="0.25">
      <c r="A4" s="91">
        <v>2</v>
      </c>
      <c r="B4" s="83">
        <v>22</v>
      </c>
      <c r="C4" s="92" t="s">
        <v>49</v>
      </c>
      <c r="D4" s="83" t="s">
        <v>106</v>
      </c>
      <c r="E4" s="83">
        <v>2001</v>
      </c>
      <c r="F4" s="85" t="s">
        <v>107</v>
      </c>
      <c r="G4" s="83" t="s">
        <v>52</v>
      </c>
      <c r="H4" s="86">
        <v>4.2000000000000003E-2</v>
      </c>
      <c r="I4" s="86">
        <v>0</v>
      </c>
      <c r="J4" s="86">
        <v>0</v>
      </c>
      <c r="K4" s="87">
        <v>2</v>
      </c>
      <c r="L4" s="87">
        <v>0</v>
      </c>
      <c r="M4" s="87">
        <v>1</v>
      </c>
      <c r="N4" s="83" t="s">
        <v>53</v>
      </c>
      <c r="O4" s="88">
        <v>402500</v>
      </c>
      <c r="P4" s="89">
        <f t="shared" si="0"/>
        <v>322000</v>
      </c>
      <c r="Q4" s="90">
        <f t="shared" si="1"/>
        <v>80500</v>
      </c>
      <c r="R4" s="93">
        <v>0.8</v>
      </c>
      <c r="S4" s="90">
        <f t="shared" si="2"/>
        <v>322000</v>
      </c>
      <c r="T4" s="1" t="b">
        <f t="shared" ref="T4:T16" si="5">P4=SUM(S4:S4)</f>
        <v>1</v>
      </c>
      <c r="U4" s="34">
        <f t="shared" ref="U4:U16" si="6">ROUND(P4/O4,4)</f>
        <v>0.8</v>
      </c>
      <c r="V4" s="35" t="b">
        <f t="shared" ref="V4:V16" si="7">U4=R4</f>
        <v>1</v>
      </c>
      <c r="W4" s="35" t="b">
        <f t="shared" ref="W4:W16" si="8">O4=P4+Q4</f>
        <v>1</v>
      </c>
    </row>
    <row r="5" spans="1:23" ht="40.700000000000003" customHeight="1" x14ac:dyDescent="0.25">
      <c r="A5" s="91">
        <v>3</v>
      </c>
      <c r="B5" s="83">
        <v>23</v>
      </c>
      <c r="C5" s="92" t="s">
        <v>49</v>
      </c>
      <c r="D5" s="83" t="s">
        <v>106</v>
      </c>
      <c r="E5" s="83">
        <v>2001</v>
      </c>
      <c r="F5" s="85" t="s">
        <v>109</v>
      </c>
      <c r="G5" s="83" t="s">
        <v>52</v>
      </c>
      <c r="H5" s="86">
        <v>0</v>
      </c>
      <c r="I5" s="86">
        <v>0</v>
      </c>
      <c r="J5" s="86">
        <v>0</v>
      </c>
      <c r="K5" s="87">
        <v>4</v>
      </c>
      <c r="L5" s="87">
        <v>0</v>
      </c>
      <c r="M5" s="87">
        <v>0</v>
      </c>
      <c r="N5" s="83" t="s">
        <v>53</v>
      </c>
      <c r="O5" s="88">
        <v>602500</v>
      </c>
      <c r="P5" s="89">
        <f t="shared" si="0"/>
        <v>482000</v>
      </c>
      <c r="Q5" s="90">
        <f t="shared" si="1"/>
        <v>120500</v>
      </c>
      <c r="R5" s="93">
        <v>0.8</v>
      </c>
      <c r="S5" s="90">
        <f t="shared" si="2"/>
        <v>482000</v>
      </c>
      <c r="T5" s="1" t="b">
        <f t="shared" si="5"/>
        <v>1</v>
      </c>
      <c r="U5" s="34">
        <f t="shared" si="6"/>
        <v>0.8</v>
      </c>
      <c r="V5" s="35" t="b">
        <f t="shared" si="7"/>
        <v>1</v>
      </c>
      <c r="W5" s="35" t="b">
        <f t="shared" si="8"/>
        <v>1</v>
      </c>
    </row>
    <row r="6" spans="1:23" ht="40.700000000000003" customHeight="1" x14ac:dyDescent="0.25">
      <c r="A6" s="91">
        <v>4</v>
      </c>
      <c r="B6" s="83">
        <v>49</v>
      </c>
      <c r="C6" s="92" t="s">
        <v>49</v>
      </c>
      <c r="D6" s="83" t="s">
        <v>101</v>
      </c>
      <c r="E6" s="83">
        <v>2009</v>
      </c>
      <c r="F6" s="85" t="s">
        <v>110</v>
      </c>
      <c r="G6" s="83" t="s">
        <v>61</v>
      </c>
      <c r="H6" s="86">
        <v>0.42099999999999999</v>
      </c>
      <c r="I6" s="86">
        <v>0</v>
      </c>
      <c r="J6" s="86">
        <v>0</v>
      </c>
      <c r="K6" s="87">
        <v>1</v>
      </c>
      <c r="L6" s="87">
        <v>0</v>
      </c>
      <c r="M6" s="87">
        <v>0</v>
      </c>
      <c r="N6" s="83" t="s">
        <v>53</v>
      </c>
      <c r="O6" s="88">
        <v>460000</v>
      </c>
      <c r="P6" s="89">
        <f t="shared" si="0"/>
        <v>368000</v>
      </c>
      <c r="Q6" s="90">
        <f t="shared" si="1"/>
        <v>92000</v>
      </c>
      <c r="R6" s="93">
        <v>0.8</v>
      </c>
      <c r="S6" s="90">
        <f t="shared" si="2"/>
        <v>368000</v>
      </c>
      <c r="T6" s="1" t="b">
        <f t="shared" si="5"/>
        <v>1</v>
      </c>
      <c r="U6" s="34">
        <f t="shared" si="6"/>
        <v>0.8</v>
      </c>
      <c r="V6" s="35" t="b">
        <f t="shared" si="7"/>
        <v>1</v>
      </c>
      <c r="W6" s="35" t="b">
        <f t="shared" si="8"/>
        <v>1</v>
      </c>
    </row>
    <row r="7" spans="1:23" ht="40.5" customHeight="1" x14ac:dyDescent="0.25">
      <c r="A7" s="91">
        <v>5</v>
      </c>
      <c r="B7" s="83">
        <v>48</v>
      </c>
      <c r="C7" s="92" t="s">
        <v>49</v>
      </c>
      <c r="D7" s="83" t="s">
        <v>101</v>
      </c>
      <c r="E7" s="83">
        <v>2009</v>
      </c>
      <c r="F7" s="85" t="s">
        <v>102</v>
      </c>
      <c r="G7" s="83" t="s">
        <v>52</v>
      </c>
      <c r="H7" s="86">
        <v>0.12</v>
      </c>
      <c r="I7" s="86">
        <v>0</v>
      </c>
      <c r="J7" s="86">
        <v>0</v>
      </c>
      <c r="K7" s="87">
        <v>0</v>
      </c>
      <c r="L7" s="87">
        <v>0</v>
      </c>
      <c r="M7" s="87">
        <v>0</v>
      </c>
      <c r="N7" s="83" t="s">
        <v>53</v>
      </c>
      <c r="O7" s="88">
        <v>103000</v>
      </c>
      <c r="P7" s="89">
        <f t="shared" si="0"/>
        <v>82400</v>
      </c>
      <c r="Q7" s="90">
        <f t="shared" si="1"/>
        <v>20600</v>
      </c>
      <c r="R7" s="93">
        <v>0.8</v>
      </c>
      <c r="S7" s="90">
        <f t="shared" si="2"/>
        <v>82400</v>
      </c>
      <c r="T7" s="1" t="b">
        <f t="shared" si="5"/>
        <v>1</v>
      </c>
      <c r="U7" s="34">
        <f t="shared" si="6"/>
        <v>0.8</v>
      </c>
      <c r="V7" s="35" t="b">
        <f t="shared" si="7"/>
        <v>1</v>
      </c>
      <c r="W7" s="35" t="b">
        <f t="shared" si="8"/>
        <v>1</v>
      </c>
    </row>
    <row r="8" spans="1:23" ht="40.700000000000003" customHeight="1" x14ac:dyDescent="0.25">
      <c r="A8" s="91">
        <v>6</v>
      </c>
      <c r="B8" s="83">
        <v>7</v>
      </c>
      <c r="C8" s="92" t="s">
        <v>49</v>
      </c>
      <c r="D8" s="84" t="s">
        <v>97</v>
      </c>
      <c r="E8" s="83">
        <v>2013</v>
      </c>
      <c r="F8" s="85" t="s">
        <v>98</v>
      </c>
      <c r="G8" s="83" t="s">
        <v>52</v>
      </c>
      <c r="H8" s="86">
        <v>1.5</v>
      </c>
      <c r="I8" s="86">
        <v>0</v>
      </c>
      <c r="J8" s="86">
        <v>0</v>
      </c>
      <c r="K8" s="87">
        <v>0</v>
      </c>
      <c r="L8" s="87">
        <v>0</v>
      </c>
      <c r="M8" s="87">
        <v>0</v>
      </c>
      <c r="N8" s="83" t="s">
        <v>53</v>
      </c>
      <c r="O8" s="88">
        <v>936000</v>
      </c>
      <c r="P8" s="89">
        <f t="shared" si="0"/>
        <v>748800</v>
      </c>
      <c r="Q8" s="90">
        <f t="shared" si="1"/>
        <v>187200</v>
      </c>
      <c r="R8" s="93">
        <v>0.8</v>
      </c>
      <c r="S8" s="90">
        <f t="shared" si="2"/>
        <v>748800</v>
      </c>
      <c r="T8" s="1" t="b">
        <f t="shared" si="5"/>
        <v>1</v>
      </c>
      <c r="U8" s="34">
        <f t="shared" si="6"/>
        <v>0.8</v>
      </c>
      <c r="V8" s="35" t="b">
        <f t="shared" si="7"/>
        <v>1</v>
      </c>
      <c r="W8" s="35" t="b">
        <f t="shared" si="8"/>
        <v>1</v>
      </c>
    </row>
    <row r="9" spans="1:23" ht="40.700000000000003" customHeight="1" x14ac:dyDescent="0.25">
      <c r="A9" s="91">
        <v>7</v>
      </c>
      <c r="B9" s="83">
        <v>50</v>
      </c>
      <c r="C9" s="92" t="s">
        <v>49</v>
      </c>
      <c r="D9" s="83" t="s">
        <v>111</v>
      </c>
      <c r="E9" s="83">
        <v>2004</v>
      </c>
      <c r="F9" s="85" t="s">
        <v>112</v>
      </c>
      <c r="G9" s="83" t="s">
        <v>52</v>
      </c>
      <c r="H9" s="86">
        <v>3.4000000000000002E-2</v>
      </c>
      <c r="I9" s="86">
        <v>0.88400000000000001</v>
      </c>
      <c r="J9" s="86">
        <v>0</v>
      </c>
      <c r="K9" s="87">
        <v>1</v>
      </c>
      <c r="L9" s="87">
        <v>1</v>
      </c>
      <c r="M9" s="87">
        <v>0</v>
      </c>
      <c r="N9" s="83" t="s">
        <v>113</v>
      </c>
      <c r="O9" s="88">
        <v>1313000</v>
      </c>
      <c r="P9" s="89">
        <f t="shared" si="0"/>
        <v>1050400</v>
      </c>
      <c r="Q9" s="90">
        <f t="shared" si="1"/>
        <v>262600</v>
      </c>
      <c r="R9" s="93">
        <v>0.8</v>
      </c>
      <c r="S9" s="90">
        <f t="shared" si="2"/>
        <v>1050400</v>
      </c>
      <c r="T9" s="1" t="b">
        <f t="shared" si="5"/>
        <v>1</v>
      </c>
      <c r="U9" s="34">
        <f t="shared" si="6"/>
        <v>0.8</v>
      </c>
      <c r="V9" s="35" t="b">
        <f t="shared" si="7"/>
        <v>1</v>
      </c>
      <c r="W9" s="35" t="b">
        <f t="shared" si="8"/>
        <v>1</v>
      </c>
    </row>
    <row r="10" spans="1:23" ht="40.700000000000003" customHeight="1" x14ac:dyDescent="0.25">
      <c r="A10" s="91">
        <v>8</v>
      </c>
      <c r="B10" s="83">
        <v>52</v>
      </c>
      <c r="C10" s="92" t="s">
        <v>49</v>
      </c>
      <c r="D10" s="83" t="s">
        <v>99</v>
      </c>
      <c r="E10" s="83">
        <v>2010</v>
      </c>
      <c r="F10" s="85" t="s">
        <v>100</v>
      </c>
      <c r="G10" s="83" t="s">
        <v>52</v>
      </c>
      <c r="H10" s="86">
        <v>0.86499999999999999</v>
      </c>
      <c r="I10" s="86">
        <v>3.8090000000000002</v>
      </c>
      <c r="J10" s="86">
        <v>0</v>
      </c>
      <c r="K10" s="87">
        <v>1</v>
      </c>
      <c r="L10" s="87">
        <v>1</v>
      </c>
      <c r="M10" s="87">
        <v>0</v>
      </c>
      <c r="N10" s="83" t="s">
        <v>62</v>
      </c>
      <c r="O10" s="88">
        <v>3237818.23</v>
      </c>
      <c r="P10" s="89">
        <f t="shared" si="0"/>
        <v>2590254.58</v>
      </c>
      <c r="Q10" s="90">
        <f t="shared" si="1"/>
        <v>647563.64999999991</v>
      </c>
      <c r="R10" s="93">
        <v>0.8</v>
      </c>
      <c r="S10" s="90">
        <f t="shared" si="2"/>
        <v>2590254.58</v>
      </c>
      <c r="T10" s="1" t="b">
        <f t="shared" si="5"/>
        <v>1</v>
      </c>
      <c r="U10" s="34">
        <f t="shared" si="6"/>
        <v>0.8</v>
      </c>
      <c r="V10" s="35" t="b">
        <f t="shared" si="7"/>
        <v>1</v>
      </c>
      <c r="W10" s="35" t="b">
        <f t="shared" si="8"/>
        <v>1</v>
      </c>
    </row>
    <row r="11" spans="1:23" ht="40.700000000000003" customHeight="1" x14ac:dyDescent="0.25">
      <c r="A11" s="91">
        <v>9</v>
      </c>
      <c r="B11" s="83">
        <v>51</v>
      </c>
      <c r="C11" s="92" t="s">
        <v>49</v>
      </c>
      <c r="D11" s="83" t="s">
        <v>103</v>
      </c>
      <c r="E11" s="83">
        <v>2005</v>
      </c>
      <c r="F11" s="85" t="s">
        <v>104</v>
      </c>
      <c r="G11" s="83" t="s">
        <v>61</v>
      </c>
      <c r="H11" s="86">
        <v>0.33</v>
      </c>
      <c r="I11" s="86">
        <v>0</v>
      </c>
      <c r="J11" s="86">
        <v>0</v>
      </c>
      <c r="K11" s="87">
        <v>0</v>
      </c>
      <c r="L11" s="87">
        <v>0</v>
      </c>
      <c r="M11" s="87">
        <v>0</v>
      </c>
      <c r="N11" s="83" t="s">
        <v>105</v>
      </c>
      <c r="O11" s="88">
        <v>143580</v>
      </c>
      <c r="P11" s="89">
        <f t="shared" si="0"/>
        <v>114864</v>
      </c>
      <c r="Q11" s="90">
        <f t="shared" si="1"/>
        <v>28716</v>
      </c>
      <c r="R11" s="93">
        <v>0.8</v>
      </c>
      <c r="S11" s="90">
        <f t="shared" si="2"/>
        <v>114864</v>
      </c>
      <c r="T11" s="1" t="b">
        <f t="shared" si="5"/>
        <v>1</v>
      </c>
      <c r="U11" s="34">
        <f t="shared" si="6"/>
        <v>0.8</v>
      </c>
      <c r="V11" s="35" t="b">
        <f t="shared" si="7"/>
        <v>1</v>
      </c>
      <c r="W11" s="35" t="b">
        <f t="shared" si="8"/>
        <v>1</v>
      </c>
    </row>
    <row r="12" spans="1:23" ht="40.700000000000003" customHeight="1" x14ac:dyDescent="0.25">
      <c r="A12" s="91">
        <v>10</v>
      </c>
      <c r="B12" s="83">
        <v>14</v>
      </c>
      <c r="C12" s="92" t="s">
        <v>49</v>
      </c>
      <c r="D12" s="83" t="s">
        <v>114</v>
      </c>
      <c r="E12" s="83">
        <v>2008</v>
      </c>
      <c r="F12" s="85" t="s">
        <v>115</v>
      </c>
      <c r="G12" s="83" t="s">
        <v>52</v>
      </c>
      <c r="H12" s="86">
        <v>0.35</v>
      </c>
      <c r="I12" s="86">
        <v>0</v>
      </c>
      <c r="J12" s="86">
        <v>0</v>
      </c>
      <c r="K12" s="87">
        <v>0</v>
      </c>
      <c r="L12" s="87">
        <v>0</v>
      </c>
      <c r="M12" s="87">
        <v>0</v>
      </c>
      <c r="N12" s="83" t="s">
        <v>113</v>
      </c>
      <c r="O12" s="88">
        <v>304500</v>
      </c>
      <c r="P12" s="89">
        <f t="shared" si="0"/>
        <v>243600</v>
      </c>
      <c r="Q12" s="90">
        <f t="shared" si="1"/>
        <v>60900</v>
      </c>
      <c r="R12" s="93">
        <v>0.8</v>
      </c>
      <c r="S12" s="90">
        <f t="shared" si="2"/>
        <v>243600</v>
      </c>
      <c r="T12" s="1" t="b">
        <f t="shared" si="5"/>
        <v>1</v>
      </c>
      <c r="U12" s="34">
        <f t="shared" si="6"/>
        <v>0.8</v>
      </c>
      <c r="V12" s="35" t="b">
        <f t="shared" si="7"/>
        <v>1</v>
      </c>
      <c r="W12" s="35" t="b">
        <f t="shared" si="8"/>
        <v>1</v>
      </c>
    </row>
    <row r="13" spans="1:23" ht="40.700000000000003" customHeight="1" x14ac:dyDescent="0.25">
      <c r="A13" s="91">
        <v>11</v>
      </c>
      <c r="B13" s="83">
        <v>18</v>
      </c>
      <c r="C13" s="92" t="s">
        <v>49</v>
      </c>
      <c r="D13" s="83" t="s">
        <v>114</v>
      </c>
      <c r="E13" s="83">
        <v>2008</v>
      </c>
      <c r="F13" s="85" t="s">
        <v>116</v>
      </c>
      <c r="G13" s="83" t="s">
        <v>52</v>
      </c>
      <c r="H13" s="86">
        <v>0.90500000000000003</v>
      </c>
      <c r="I13" s="86">
        <v>0</v>
      </c>
      <c r="J13" s="86">
        <v>0</v>
      </c>
      <c r="K13" s="87">
        <v>2</v>
      </c>
      <c r="L13" s="87">
        <v>0</v>
      </c>
      <c r="M13" s="87">
        <v>0</v>
      </c>
      <c r="N13" s="83" t="s">
        <v>113</v>
      </c>
      <c r="O13" s="88">
        <v>900750</v>
      </c>
      <c r="P13" s="89">
        <f t="shared" si="0"/>
        <v>720600</v>
      </c>
      <c r="Q13" s="90">
        <f t="shared" si="1"/>
        <v>180150</v>
      </c>
      <c r="R13" s="93">
        <v>0.8</v>
      </c>
      <c r="S13" s="90">
        <f t="shared" si="2"/>
        <v>720600</v>
      </c>
      <c r="T13" s="1" t="b">
        <f t="shared" si="5"/>
        <v>1</v>
      </c>
      <c r="U13" s="34">
        <f t="shared" si="6"/>
        <v>0.8</v>
      </c>
      <c r="V13" s="35" t="b">
        <f t="shared" si="7"/>
        <v>1</v>
      </c>
      <c r="W13" s="35" t="b">
        <f t="shared" si="8"/>
        <v>1</v>
      </c>
    </row>
    <row r="14" spans="1:23" ht="40.700000000000003" customHeight="1" x14ac:dyDescent="0.25">
      <c r="A14" s="91">
        <v>12</v>
      </c>
      <c r="B14" s="83">
        <v>21</v>
      </c>
      <c r="C14" s="92" t="s">
        <v>49</v>
      </c>
      <c r="D14" s="83" t="s">
        <v>114</v>
      </c>
      <c r="E14" s="83">
        <v>2008</v>
      </c>
      <c r="F14" s="85" t="s">
        <v>117</v>
      </c>
      <c r="G14" s="83" t="s">
        <v>61</v>
      </c>
      <c r="H14" s="86">
        <v>0.15</v>
      </c>
      <c r="I14" s="86">
        <v>0</v>
      </c>
      <c r="J14" s="86">
        <v>0</v>
      </c>
      <c r="K14" s="87">
        <v>2</v>
      </c>
      <c r="L14" s="87">
        <v>0</v>
      </c>
      <c r="M14" s="87">
        <v>0</v>
      </c>
      <c r="N14" s="83" t="s">
        <v>113</v>
      </c>
      <c r="O14" s="88">
        <v>334500</v>
      </c>
      <c r="P14" s="89">
        <f t="shared" si="0"/>
        <v>267600</v>
      </c>
      <c r="Q14" s="90">
        <f t="shared" si="1"/>
        <v>66900</v>
      </c>
      <c r="R14" s="93">
        <v>0.8</v>
      </c>
      <c r="S14" s="90">
        <f t="shared" si="2"/>
        <v>267600</v>
      </c>
      <c r="T14" s="1" t="b">
        <f t="shared" si="5"/>
        <v>1</v>
      </c>
      <c r="U14" s="34">
        <f t="shared" si="6"/>
        <v>0.8</v>
      </c>
      <c r="V14" s="35" t="b">
        <f t="shared" si="7"/>
        <v>1</v>
      </c>
      <c r="W14" s="35" t="b">
        <f t="shared" si="8"/>
        <v>1</v>
      </c>
    </row>
    <row r="15" spans="1:23" ht="40.700000000000003" customHeight="1" x14ac:dyDescent="0.25">
      <c r="A15" s="91">
        <v>13</v>
      </c>
      <c r="B15" s="83">
        <v>20</v>
      </c>
      <c r="C15" s="92" t="s">
        <v>49</v>
      </c>
      <c r="D15" s="83" t="s">
        <v>114</v>
      </c>
      <c r="E15" s="83">
        <v>2008</v>
      </c>
      <c r="F15" s="85" t="s">
        <v>118</v>
      </c>
      <c r="G15" s="83" t="s">
        <v>52</v>
      </c>
      <c r="H15" s="86">
        <v>0.15</v>
      </c>
      <c r="I15" s="86">
        <v>0</v>
      </c>
      <c r="J15" s="86">
        <v>0</v>
      </c>
      <c r="K15" s="87">
        <v>2</v>
      </c>
      <c r="L15" s="87">
        <v>0</v>
      </c>
      <c r="M15" s="87">
        <v>0</v>
      </c>
      <c r="N15" s="83" t="s">
        <v>113</v>
      </c>
      <c r="O15" s="88">
        <v>154500</v>
      </c>
      <c r="P15" s="89">
        <f t="shared" si="0"/>
        <v>123600</v>
      </c>
      <c r="Q15" s="90">
        <f t="shared" si="1"/>
        <v>30900</v>
      </c>
      <c r="R15" s="93">
        <v>0.8</v>
      </c>
      <c r="S15" s="90">
        <f t="shared" si="2"/>
        <v>123600</v>
      </c>
      <c r="T15" s="1" t="b">
        <f t="shared" si="5"/>
        <v>1</v>
      </c>
      <c r="U15" s="34">
        <f t="shared" si="6"/>
        <v>0.8</v>
      </c>
      <c r="V15" s="35" t="b">
        <f t="shared" si="7"/>
        <v>1</v>
      </c>
      <c r="W15" s="35" t="b">
        <f t="shared" si="8"/>
        <v>1</v>
      </c>
    </row>
    <row r="16" spans="1:23" ht="40.700000000000003" customHeight="1" x14ac:dyDescent="0.25">
      <c r="A16" s="91" t="s">
        <v>139</v>
      </c>
      <c r="B16" s="83">
        <v>19</v>
      </c>
      <c r="C16" s="92" t="s">
        <v>49</v>
      </c>
      <c r="D16" s="83" t="s">
        <v>114</v>
      </c>
      <c r="E16" s="83">
        <v>2008</v>
      </c>
      <c r="F16" s="85" t="s">
        <v>119</v>
      </c>
      <c r="G16" s="83" t="s">
        <v>52</v>
      </c>
      <c r="H16" s="86">
        <v>0.38500000000000001</v>
      </c>
      <c r="I16" s="86">
        <v>0</v>
      </c>
      <c r="J16" s="86">
        <v>0</v>
      </c>
      <c r="K16" s="87">
        <v>0</v>
      </c>
      <c r="L16" s="87">
        <v>0</v>
      </c>
      <c r="M16" s="87">
        <v>0</v>
      </c>
      <c r="N16" s="83" t="s">
        <v>113</v>
      </c>
      <c r="O16" s="88">
        <v>290750</v>
      </c>
      <c r="P16" s="89">
        <f>ROUNDDOWN(O16*R16,2)-37976.28</f>
        <v>194623.72</v>
      </c>
      <c r="Q16" s="90">
        <f t="shared" ref="Q16" si="9">O16-P16</f>
        <v>96126.28</v>
      </c>
      <c r="R16" s="93">
        <v>0.8</v>
      </c>
      <c r="S16" s="90">
        <f t="shared" ref="S16" si="10">P16</f>
        <v>194623.72</v>
      </c>
      <c r="T16" s="1" t="b">
        <f t="shared" si="5"/>
        <v>1</v>
      </c>
      <c r="U16" s="34">
        <f t="shared" si="6"/>
        <v>0.6694</v>
      </c>
      <c r="V16" s="35" t="b">
        <f t="shared" si="7"/>
        <v>0</v>
      </c>
      <c r="W16" s="35" t="b">
        <f t="shared" si="8"/>
        <v>1</v>
      </c>
    </row>
    <row r="17" spans="1:23" ht="20.100000000000001" customHeight="1" x14ac:dyDescent="0.25">
      <c r="A17" s="120" t="s">
        <v>34</v>
      </c>
      <c r="B17" s="120"/>
      <c r="C17" s="120"/>
      <c r="D17" s="120"/>
      <c r="E17" s="120"/>
      <c r="F17" s="120"/>
      <c r="G17" s="120"/>
      <c r="H17" s="94">
        <f t="shared" ref="H17:M17" si="11">SUM(H3:H16)</f>
        <v>5.2520000000000007</v>
      </c>
      <c r="I17" s="94">
        <f t="shared" si="11"/>
        <v>4.6930000000000005</v>
      </c>
      <c r="J17" s="94">
        <f t="shared" si="11"/>
        <v>0</v>
      </c>
      <c r="K17" s="95">
        <f t="shared" si="11"/>
        <v>16</v>
      </c>
      <c r="L17" s="95">
        <f t="shared" si="11"/>
        <v>3</v>
      </c>
      <c r="M17" s="95">
        <f t="shared" si="11"/>
        <v>1</v>
      </c>
      <c r="N17" s="96" t="s">
        <v>11</v>
      </c>
      <c r="O17" s="97">
        <f>SUM(O3:O16)</f>
        <v>9263398.2300000004</v>
      </c>
      <c r="P17" s="97">
        <f>SUM(P3:P16)</f>
        <v>7372742.2999999998</v>
      </c>
      <c r="Q17" s="97">
        <f>SUM(Q3:Q16)</f>
        <v>1890655.93</v>
      </c>
      <c r="R17" s="98" t="s">
        <v>11</v>
      </c>
      <c r="S17" s="99">
        <f>SUM(S3:S16)</f>
        <v>7372742.2999999998</v>
      </c>
      <c r="T17" s="1" t="b">
        <f t="shared" ref="T17" si="12">P17=SUM(S17:S17)</f>
        <v>1</v>
      </c>
      <c r="U17" s="34">
        <f t="shared" ref="U17" si="13">ROUND(P17/O17,4)</f>
        <v>0.79590000000000005</v>
      </c>
      <c r="V17" s="35" t="s">
        <v>11</v>
      </c>
      <c r="W17" s="35" t="b">
        <f t="shared" si="4"/>
        <v>1</v>
      </c>
    </row>
    <row r="18" spans="1:23" ht="20.100000000000001" customHeight="1" x14ac:dyDescent="0.25">
      <c r="A18" s="29"/>
      <c r="B18" s="29"/>
      <c r="C18" s="29"/>
      <c r="D18" s="29"/>
      <c r="E18" s="29"/>
      <c r="F18" s="29"/>
      <c r="G18" s="29"/>
      <c r="H18" s="121">
        <f>H17+I17+J17</f>
        <v>9.9450000000000003</v>
      </c>
      <c r="I18" s="121"/>
      <c r="J18" s="121"/>
      <c r="K18" s="122">
        <f>K17+L17+M17</f>
        <v>20</v>
      </c>
      <c r="L18" s="122"/>
      <c r="M18" s="122"/>
    </row>
    <row r="19" spans="1:23" ht="20.100000000000001" customHeight="1" x14ac:dyDescent="0.25">
      <c r="A19" s="28" t="s">
        <v>45</v>
      </c>
      <c r="B19" s="28"/>
      <c r="C19" s="28"/>
      <c r="D19" s="28"/>
      <c r="E19" s="28"/>
      <c r="F19" s="28"/>
      <c r="G19" s="28"/>
      <c r="H19" s="11"/>
      <c r="I19" s="11"/>
      <c r="J19" s="11"/>
      <c r="K19" s="11"/>
      <c r="L19" s="11"/>
      <c r="M19" s="11"/>
      <c r="N19" s="11"/>
      <c r="O19" s="5"/>
      <c r="P19" s="11"/>
      <c r="Q19" s="11"/>
      <c r="S19" s="11"/>
      <c r="T19" s="1"/>
      <c r="W19" s="35"/>
    </row>
    <row r="20" spans="1:23" ht="28.5" customHeight="1" x14ac:dyDescent="0.25">
      <c r="A20" s="119" t="s">
        <v>33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"/>
    </row>
    <row r="21" spans="1:23" x14ac:dyDescent="0.25">
      <c r="B21" s="30"/>
      <c r="C21" s="30"/>
      <c r="D21" s="30"/>
      <c r="E21" s="30"/>
      <c r="F21" s="30"/>
      <c r="G21" s="30"/>
      <c r="O21" s="25"/>
    </row>
    <row r="22" spans="1:23" x14ac:dyDescent="0.25">
      <c r="I22" s="35" t="b">
        <f>H17+I17+J17=H18</f>
        <v>1</v>
      </c>
      <c r="L22" s="35" t="b">
        <f>K17+L17+M17=K18</f>
        <v>1</v>
      </c>
    </row>
  </sheetData>
  <mergeCells count="18">
    <mergeCell ref="A20:S20"/>
    <mergeCell ref="P1:P2"/>
    <mergeCell ref="Q1:Q2"/>
    <mergeCell ref="R1:R2"/>
    <mergeCell ref="A17:G17"/>
    <mergeCell ref="H18:J18"/>
    <mergeCell ref="K18:M18"/>
    <mergeCell ref="F1:F2"/>
    <mergeCell ref="G1:G2"/>
    <mergeCell ref="H1:J1"/>
    <mergeCell ref="K1:M1"/>
    <mergeCell ref="N1:N2"/>
    <mergeCell ref="O1:O2"/>
    <mergeCell ref="A1:A2"/>
    <mergeCell ref="B1:B2"/>
    <mergeCell ref="C1:C2"/>
    <mergeCell ref="D1:D2"/>
    <mergeCell ref="E1:E2"/>
  </mergeCells>
  <conditionalFormatting sqref="T3:W17">
    <cfRule type="cellIs" dxfId="39" priority="9" operator="equal">
      <formula>FALSE</formula>
    </cfRule>
  </conditionalFormatting>
  <conditionalFormatting sqref="T3:V17">
    <cfRule type="containsText" dxfId="38" priority="7" operator="containsText" text="fałsz">
      <formula>NOT(ISERROR(SEARCH("fałsz",T3)))</formula>
    </cfRule>
  </conditionalFormatting>
  <conditionalFormatting sqref="W19">
    <cfRule type="cellIs" dxfId="37" priority="6" operator="equal">
      <formula>FALSE</formula>
    </cfRule>
  </conditionalFormatting>
  <conditionalFormatting sqref="W19">
    <cfRule type="cellIs" dxfId="36" priority="5" operator="equal">
      <formula>FALSE</formula>
    </cfRule>
  </conditionalFormatting>
  <conditionalFormatting sqref="I22">
    <cfRule type="cellIs" dxfId="35" priority="4" operator="equal">
      <formula>FALSE</formula>
    </cfRule>
  </conditionalFormatting>
  <conditionalFormatting sqref="I22">
    <cfRule type="cellIs" dxfId="34" priority="3" operator="equal">
      <formula>FALSE</formula>
    </cfRule>
  </conditionalFormatting>
  <conditionalFormatting sqref="L22">
    <cfRule type="cellIs" dxfId="33" priority="2" operator="equal">
      <formula>FALSE</formula>
    </cfRule>
  </conditionalFormatting>
  <conditionalFormatting sqref="L22">
    <cfRule type="cellIs" dxfId="32" priority="1" operator="equal">
      <formula>FALSE</formula>
    </cfRule>
  </conditionalFormatting>
  <dataValidations count="1">
    <dataValidation type="list" allowBlank="1" showInputMessage="1" showErrorMessage="1" sqref="C3:C16" xr:uid="{00000000-0002-0000-0100-000000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Podlaskie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5"/>
  <sheetViews>
    <sheetView showGridLines="0" view="pageBreakPreview" zoomScale="70" zoomScaleNormal="78" zoomScaleSheetLayoutView="70" workbookViewId="0">
      <selection sqref="A1:A2"/>
    </sheetView>
  </sheetViews>
  <sheetFormatPr defaultColWidth="9.140625" defaultRowHeight="15" x14ac:dyDescent="0.25"/>
  <cols>
    <col min="1" max="1" width="8.42578125" style="3" customWidth="1"/>
    <col min="2" max="2" width="11.85546875" style="3" customWidth="1"/>
    <col min="3" max="3" width="15.7109375" style="3" customWidth="1"/>
    <col min="4" max="4" width="20.42578125" style="3" customWidth="1"/>
    <col min="5" max="5" width="15.7109375" style="3" customWidth="1"/>
    <col min="6" max="6" width="18.85546875" style="3" customWidth="1"/>
    <col min="7" max="7" width="63.28515625" style="3" customWidth="1"/>
    <col min="8" max="14" width="15.7109375" style="3" customWidth="1"/>
    <col min="15" max="15" width="17.140625" style="3" customWidth="1"/>
    <col min="16" max="16" width="15.7109375" style="4" customWidth="1"/>
    <col min="17" max="18" width="15.7109375" style="3" customWidth="1"/>
    <col min="19" max="19" width="15.7109375" style="1" customWidth="1"/>
    <col min="20" max="20" width="15.7109375" style="3" customWidth="1"/>
    <col min="21" max="21" width="15.7109375" style="32" customWidth="1"/>
    <col min="22" max="23" width="15.7109375" style="1" customWidth="1"/>
    <col min="24" max="24" width="15.7109375" style="32" customWidth="1"/>
    <col min="25" max="16384" width="9.140625" style="3"/>
  </cols>
  <sheetData>
    <row r="1" spans="1:24" ht="33.75" customHeight="1" x14ac:dyDescent="0.25">
      <c r="A1" s="114" t="s">
        <v>4</v>
      </c>
      <c r="B1" s="114" t="s">
        <v>5</v>
      </c>
      <c r="C1" s="115" t="s">
        <v>36</v>
      </c>
      <c r="D1" s="117" t="s">
        <v>6</v>
      </c>
      <c r="E1" s="117" t="s">
        <v>26</v>
      </c>
      <c r="F1" s="117" t="s">
        <v>12</v>
      </c>
      <c r="G1" s="117" t="s">
        <v>7</v>
      </c>
      <c r="H1" s="114" t="s">
        <v>21</v>
      </c>
      <c r="I1" s="123" t="s">
        <v>44</v>
      </c>
      <c r="J1" s="124"/>
      <c r="K1" s="125"/>
      <c r="L1" s="123" t="s">
        <v>40</v>
      </c>
      <c r="M1" s="124"/>
      <c r="N1" s="125"/>
      <c r="O1" s="114" t="s">
        <v>20</v>
      </c>
      <c r="P1" s="113" t="s">
        <v>8</v>
      </c>
      <c r="Q1" s="114" t="s">
        <v>13</v>
      </c>
      <c r="R1" s="117" t="s">
        <v>10</v>
      </c>
      <c r="S1" s="114" t="s">
        <v>9</v>
      </c>
      <c r="T1" s="41" t="s">
        <v>35</v>
      </c>
      <c r="U1" s="1"/>
    </row>
    <row r="2" spans="1:24" ht="48" customHeight="1" x14ac:dyDescent="0.25">
      <c r="A2" s="114"/>
      <c r="B2" s="114"/>
      <c r="C2" s="116"/>
      <c r="D2" s="118"/>
      <c r="E2" s="118"/>
      <c r="F2" s="118"/>
      <c r="G2" s="118"/>
      <c r="H2" s="114"/>
      <c r="I2" s="81" t="s">
        <v>41</v>
      </c>
      <c r="J2" s="81" t="s">
        <v>42</v>
      </c>
      <c r="K2" s="81" t="s">
        <v>43</v>
      </c>
      <c r="L2" s="81" t="s">
        <v>37</v>
      </c>
      <c r="M2" s="81" t="s">
        <v>38</v>
      </c>
      <c r="N2" s="81" t="s">
        <v>39</v>
      </c>
      <c r="O2" s="114"/>
      <c r="P2" s="113"/>
      <c r="Q2" s="114"/>
      <c r="R2" s="118"/>
      <c r="S2" s="114"/>
      <c r="T2" s="41">
        <v>2023</v>
      </c>
      <c r="U2" s="1" t="s">
        <v>22</v>
      </c>
      <c r="V2" s="1" t="s">
        <v>23</v>
      </c>
      <c r="W2" s="1" t="s">
        <v>24</v>
      </c>
      <c r="X2" s="33" t="s">
        <v>25</v>
      </c>
    </row>
    <row r="3" spans="1:24" ht="40.700000000000003" customHeight="1" x14ac:dyDescent="0.25">
      <c r="A3" s="91">
        <v>1</v>
      </c>
      <c r="B3" s="83">
        <v>53</v>
      </c>
      <c r="C3" s="92" t="s">
        <v>49</v>
      </c>
      <c r="D3" s="84" t="s">
        <v>83</v>
      </c>
      <c r="E3" s="83">
        <v>2002013</v>
      </c>
      <c r="F3" s="84" t="s">
        <v>77</v>
      </c>
      <c r="G3" s="85" t="s">
        <v>84</v>
      </c>
      <c r="H3" s="83" t="s">
        <v>52</v>
      </c>
      <c r="I3" s="86">
        <v>0</v>
      </c>
      <c r="J3" s="86">
        <v>0.3</v>
      </c>
      <c r="K3" s="86">
        <v>0</v>
      </c>
      <c r="L3" s="87">
        <v>0</v>
      </c>
      <c r="M3" s="87">
        <v>0</v>
      </c>
      <c r="N3" s="87">
        <v>0</v>
      </c>
      <c r="O3" s="100" t="s">
        <v>53</v>
      </c>
      <c r="P3" s="88">
        <v>3982600</v>
      </c>
      <c r="Q3" s="89">
        <f t="shared" ref="Q3:Q18" si="0">ROUNDDOWN(P3*S3,2)</f>
        <v>3186080</v>
      </c>
      <c r="R3" s="90">
        <f t="shared" ref="R3:R19" si="1">P3-Q3</f>
        <v>796520</v>
      </c>
      <c r="S3" s="93">
        <v>0.8</v>
      </c>
      <c r="T3" s="90">
        <f t="shared" ref="T3:T19" si="2">Q3</f>
        <v>3186080</v>
      </c>
      <c r="U3" s="1" t="b">
        <f t="shared" ref="U3:U18" si="3">Q3=SUM(T3:T3)</f>
        <v>1</v>
      </c>
      <c r="V3" s="34">
        <f t="shared" ref="V3:V20" si="4">ROUND(Q3/P3,4)</f>
        <v>0.8</v>
      </c>
      <c r="W3" s="35" t="b">
        <f t="shared" ref="W3:W19" si="5">V3=S3</f>
        <v>1</v>
      </c>
      <c r="X3" s="35" t="b">
        <f t="shared" ref="X3:X20" si="6">P3=Q3+R3</f>
        <v>1</v>
      </c>
    </row>
    <row r="4" spans="1:24" ht="40.700000000000003" customHeight="1" x14ac:dyDescent="0.25">
      <c r="A4" s="91">
        <v>2</v>
      </c>
      <c r="B4" s="83">
        <v>28</v>
      </c>
      <c r="C4" s="92" t="s">
        <v>49</v>
      </c>
      <c r="D4" s="84" t="s">
        <v>69</v>
      </c>
      <c r="E4" s="83">
        <v>2063011</v>
      </c>
      <c r="F4" s="84" t="s">
        <v>70</v>
      </c>
      <c r="G4" s="85" t="s">
        <v>71</v>
      </c>
      <c r="H4" s="83" t="s">
        <v>61</v>
      </c>
      <c r="I4" s="86">
        <v>0</v>
      </c>
      <c r="J4" s="86">
        <v>0</v>
      </c>
      <c r="K4" s="86">
        <v>0</v>
      </c>
      <c r="L4" s="87">
        <v>1</v>
      </c>
      <c r="M4" s="87">
        <v>0</v>
      </c>
      <c r="N4" s="87">
        <v>0</v>
      </c>
      <c r="O4" s="86" t="s">
        <v>72</v>
      </c>
      <c r="P4" s="88">
        <v>80000</v>
      </c>
      <c r="Q4" s="89">
        <f t="shared" si="0"/>
        <v>64000</v>
      </c>
      <c r="R4" s="90">
        <f t="shared" si="1"/>
        <v>16000</v>
      </c>
      <c r="S4" s="93">
        <v>0.8</v>
      </c>
      <c r="T4" s="90">
        <f t="shared" si="2"/>
        <v>64000</v>
      </c>
      <c r="U4" s="1" t="b">
        <f t="shared" si="3"/>
        <v>1</v>
      </c>
      <c r="V4" s="34">
        <f t="shared" si="4"/>
        <v>0.8</v>
      </c>
      <c r="W4" s="35" t="b">
        <f t="shared" si="5"/>
        <v>1</v>
      </c>
      <c r="X4" s="35" t="b">
        <f t="shared" si="6"/>
        <v>1</v>
      </c>
    </row>
    <row r="5" spans="1:24" ht="40.700000000000003" customHeight="1" x14ac:dyDescent="0.25">
      <c r="A5" s="91">
        <v>3</v>
      </c>
      <c r="B5" s="83">
        <v>43</v>
      </c>
      <c r="C5" s="92" t="s">
        <v>49</v>
      </c>
      <c r="D5" s="84" t="s">
        <v>76</v>
      </c>
      <c r="E5" s="83">
        <v>2002133</v>
      </c>
      <c r="F5" s="84" t="s">
        <v>77</v>
      </c>
      <c r="G5" s="85" t="s">
        <v>78</v>
      </c>
      <c r="H5" s="83" t="s">
        <v>61</v>
      </c>
      <c r="I5" s="86">
        <v>0</v>
      </c>
      <c r="J5" s="86">
        <v>0</v>
      </c>
      <c r="K5" s="86">
        <v>0</v>
      </c>
      <c r="L5" s="87">
        <v>2</v>
      </c>
      <c r="M5" s="87">
        <v>0</v>
      </c>
      <c r="N5" s="87">
        <v>0</v>
      </c>
      <c r="O5" s="83" t="s">
        <v>53</v>
      </c>
      <c r="P5" s="88">
        <v>170000</v>
      </c>
      <c r="Q5" s="89">
        <f t="shared" si="0"/>
        <v>136000</v>
      </c>
      <c r="R5" s="90">
        <f t="shared" si="1"/>
        <v>34000</v>
      </c>
      <c r="S5" s="93">
        <v>0.8</v>
      </c>
      <c r="T5" s="90">
        <f t="shared" si="2"/>
        <v>136000</v>
      </c>
      <c r="U5" s="1" t="b">
        <f t="shared" si="3"/>
        <v>1</v>
      </c>
      <c r="V5" s="34">
        <f t="shared" si="4"/>
        <v>0.8</v>
      </c>
      <c r="W5" s="35" t="b">
        <f t="shared" si="5"/>
        <v>1</v>
      </c>
      <c r="X5" s="35" t="b">
        <f t="shared" si="6"/>
        <v>1</v>
      </c>
    </row>
    <row r="6" spans="1:24" ht="40.700000000000003" customHeight="1" x14ac:dyDescent="0.25">
      <c r="A6" s="91">
        <v>4</v>
      </c>
      <c r="B6" s="83">
        <v>42</v>
      </c>
      <c r="C6" s="92" t="s">
        <v>49</v>
      </c>
      <c r="D6" s="84" t="s">
        <v>76</v>
      </c>
      <c r="E6" s="83">
        <v>2002133</v>
      </c>
      <c r="F6" s="84" t="s">
        <v>77</v>
      </c>
      <c r="G6" s="85" t="s">
        <v>96</v>
      </c>
      <c r="H6" s="83" t="s">
        <v>52</v>
      </c>
      <c r="I6" s="86">
        <v>0.186</v>
      </c>
      <c r="J6" s="86">
        <v>0</v>
      </c>
      <c r="K6" s="86">
        <v>0</v>
      </c>
      <c r="L6" s="87">
        <v>0</v>
      </c>
      <c r="M6" s="87">
        <v>0</v>
      </c>
      <c r="N6" s="87">
        <v>0</v>
      </c>
      <c r="O6" s="83" t="s">
        <v>53</v>
      </c>
      <c r="P6" s="88">
        <v>47200</v>
      </c>
      <c r="Q6" s="89">
        <f t="shared" si="0"/>
        <v>37760</v>
      </c>
      <c r="R6" s="90">
        <f t="shared" si="1"/>
        <v>9440</v>
      </c>
      <c r="S6" s="93">
        <v>0.8</v>
      </c>
      <c r="T6" s="90">
        <f t="shared" si="2"/>
        <v>37760</v>
      </c>
      <c r="U6" s="1" t="b">
        <f t="shared" si="3"/>
        <v>1</v>
      </c>
      <c r="V6" s="34">
        <f t="shared" si="4"/>
        <v>0.8</v>
      </c>
      <c r="W6" s="35" t="b">
        <f t="shared" si="5"/>
        <v>1</v>
      </c>
      <c r="X6" s="35" t="b">
        <f t="shared" si="6"/>
        <v>1</v>
      </c>
    </row>
    <row r="7" spans="1:24" ht="40.700000000000003" customHeight="1" x14ac:dyDescent="0.25">
      <c r="A7" s="91">
        <v>5</v>
      </c>
      <c r="B7" s="83">
        <v>4</v>
      </c>
      <c r="C7" s="92" t="s">
        <v>49</v>
      </c>
      <c r="D7" s="84" t="s">
        <v>54</v>
      </c>
      <c r="E7" s="83">
        <v>2014052</v>
      </c>
      <c r="F7" s="84" t="s">
        <v>55</v>
      </c>
      <c r="G7" s="85" t="s">
        <v>56</v>
      </c>
      <c r="H7" s="83" t="s">
        <v>52</v>
      </c>
      <c r="I7" s="86">
        <v>0.36</v>
      </c>
      <c r="J7" s="86">
        <v>0</v>
      </c>
      <c r="K7" s="86">
        <v>0</v>
      </c>
      <c r="L7" s="87">
        <v>0</v>
      </c>
      <c r="M7" s="87">
        <v>0</v>
      </c>
      <c r="N7" s="87">
        <v>0</v>
      </c>
      <c r="O7" s="83" t="s">
        <v>57</v>
      </c>
      <c r="P7" s="88">
        <v>405025.39</v>
      </c>
      <c r="Q7" s="89">
        <f t="shared" si="0"/>
        <v>324020.31</v>
      </c>
      <c r="R7" s="90">
        <f t="shared" si="1"/>
        <v>81005.080000000016</v>
      </c>
      <c r="S7" s="93">
        <v>0.8</v>
      </c>
      <c r="T7" s="90">
        <f t="shared" si="2"/>
        <v>324020.31</v>
      </c>
      <c r="U7" s="1" t="b">
        <f t="shared" si="3"/>
        <v>1</v>
      </c>
      <c r="V7" s="34">
        <f t="shared" si="4"/>
        <v>0.8</v>
      </c>
      <c r="W7" s="35" t="b">
        <f t="shared" si="5"/>
        <v>1</v>
      </c>
      <c r="X7" s="35" t="b">
        <f t="shared" si="6"/>
        <v>1</v>
      </c>
    </row>
    <row r="8" spans="1:24" ht="40.700000000000003" customHeight="1" x14ac:dyDescent="0.25">
      <c r="A8" s="91">
        <v>6</v>
      </c>
      <c r="B8" s="83">
        <v>5</v>
      </c>
      <c r="C8" s="92" t="s">
        <v>49</v>
      </c>
      <c r="D8" s="84" t="s">
        <v>58</v>
      </c>
      <c r="E8" s="83">
        <v>2009042</v>
      </c>
      <c r="F8" s="84" t="s">
        <v>59</v>
      </c>
      <c r="G8" s="85" t="s">
        <v>60</v>
      </c>
      <c r="H8" s="83" t="s">
        <v>61</v>
      </c>
      <c r="I8" s="86">
        <v>0.75</v>
      </c>
      <c r="J8" s="86">
        <v>0</v>
      </c>
      <c r="K8" s="86">
        <v>0</v>
      </c>
      <c r="L8" s="87">
        <v>1</v>
      </c>
      <c r="M8" s="87">
        <v>0</v>
      </c>
      <c r="N8" s="87">
        <v>0</v>
      </c>
      <c r="O8" s="83" t="s">
        <v>62</v>
      </c>
      <c r="P8" s="88">
        <v>101823.95</v>
      </c>
      <c r="Q8" s="89">
        <f t="shared" si="0"/>
        <v>81459.16</v>
      </c>
      <c r="R8" s="90">
        <f t="shared" si="1"/>
        <v>20364.789999999994</v>
      </c>
      <c r="S8" s="93">
        <v>0.8</v>
      </c>
      <c r="T8" s="90">
        <f t="shared" si="2"/>
        <v>81459.16</v>
      </c>
      <c r="U8" s="1" t="b">
        <f t="shared" si="3"/>
        <v>1</v>
      </c>
      <c r="V8" s="34">
        <f t="shared" si="4"/>
        <v>0.8</v>
      </c>
      <c r="W8" s="35" t="b">
        <f t="shared" si="5"/>
        <v>1</v>
      </c>
      <c r="X8" s="35" t="b">
        <f t="shared" si="6"/>
        <v>1</v>
      </c>
    </row>
    <row r="9" spans="1:24" ht="40.700000000000003" customHeight="1" x14ac:dyDescent="0.25">
      <c r="A9" s="91">
        <v>7</v>
      </c>
      <c r="B9" s="83">
        <v>44</v>
      </c>
      <c r="C9" s="92" t="s">
        <v>49</v>
      </c>
      <c r="D9" s="84" t="s">
        <v>76</v>
      </c>
      <c r="E9" s="83">
        <v>2002133</v>
      </c>
      <c r="F9" s="84" t="s">
        <v>77</v>
      </c>
      <c r="G9" s="85" t="s">
        <v>79</v>
      </c>
      <c r="H9" s="83" t="s">
        <v>52</v>
      </c>
      <c r="I9" s="86">
        <v>0.23499999999999999</v>
      </c>
      <c r="J9" s="86">
        <v>0</v>
      </c>
      <c r="K9" s="86">
        <v>0</v>
      </c>
      <c r="L9" s="87">
        <v>0</v>
      </c>
      <c r="M9" s="87">
        <v>0</v>
      </c>
      <c r="N9" s="87">
        <v>0</v>
      </c>
      <c r="O9" s="83" t="s">
        <v>53</v>
      </c>
      <c r="P9" s="88">
        <v>57000</v>
      </c>
      <c r="Q9" s="89">
        <f t="shared" si="0"/>
        <v>45600</v>
      </c>
      <c r="R9" s="90">
        <f t="shared" si="1"/>
        <v>11400</v>
      </c>
      <c r="S9" s="93">
        <v>0.8</v>
      </c>
      <c r="T9" s="90">
        <f t="shared" si="2"/>
        <v>45600</v>
      </c>
      <c r="U9" s="1" t="b">
        <f t="shared" si="3"/>
        <v>1</v>
      </c>
      <c r="V9" s="34">
        <f t="shared" si="4"/>
        <v>0.8</v>
      </c>
      <c r="W9" s="35" t="b">
        <f t="shared" si="5"/>
        <v>1</v>
      </c>
      <c r="X9" s="35" t="b">
        <f t="shared" si="6"/>
        <v>1</v>
      </c>
    </row>
    <row r="10" spans="1:24" ht="40.700000000000003" customHeight="1" x14ac:dyDescent="0.25">
      <c r="A10" s="91">
        <v>8</v>
      </c>
      <c r="B10" s="83">
        <v>24</v>
      </c>
      <c r="C10" s="92" t="s">
        <v>49</v>
      </c>
      <c r="D10" s="84" t="s">
        <v>63</v>
      </c>
      <c r="E10" s="83">
        <v>2004011</v>
      </c>
      <c r="F10" s="84" t="s">
        <v>64</v>
      </c>
      <c r="G10" s="85" t="s">
        <v>65</v>
      </c>
      <c r="H10" s="83" t="s">
        <v>52</v>
      </c>
      <c r="I10" s="86">
        <v>0.95</v>
      </c>
      <c r="J10" s="86">
        <v>0</v>
      </c>
      <c r="K10" s="86">
        <v>0</v>
      </c>
      <c r="L10" s="87">
        <v>8</v>
      </c>
      <c r="M10" s="87">
        <v>0</v>
      </c>
      <c r="N10" s="87">
        <v>0</v>
      </c>
      <c r="O10" s="83" t="s">
        <v>66</v>
      </c>
      <c r="P10" s="88">
        <v>709150</v>
      </c>
      <c r="Q10" s="89">
        <f t="shared" si="0"/>
        <v>567320</v>
      </c>
      <c r="R10" s="90">
        <f t="shared" si="1"/>
        <v>141830</v>
      </c>
      <c r="S10" s="93">
        <v>0.8</v>
      </c>
      <c r="T10" s="90">
        <f t="shared" si="2"/>
        <v>567320</v>
      </c>
      <c r="U10" s="1" t="b">
        <f t="shared" si="3"/>
        <v>1</v>
      </c>
      <c r="V10" s="34">
        <f t="shared" si="4"/>
        <v>0.8</v>
      </c>
      <c r="W10" s="35" t="b">
        <f t="shared" si="5"/>
        <v>1</v>
      </c>
      <c r="X10" s="35" t="b">
        <f t="shared" si="6"/>
        <v>1</v>
      </c>
    </row>
    <row r="11" spans="1:24" ht="40.700000000000003" customHeight="1" x14ac:dyDescent="0.25">
      <c r="A11" s="91">
        <v>9</v>
      </c>
      <c r="B11" s="83">
        <v>45</v>
      </c>
      <c r="C11" s="92" t="s">
        <v>49</v>
      </c>
      <c r="D11" s="84" t="s">
        <v>80</v>
      </c>
      <c r="E11" s="83">
        <v>2001032</v>
      </c>
      <c r="F11" s="84" t="s">
        <v>50</v>
      </c>
      <c r="G11" s="85" t="s">
        <v>81</v>
      </c>
      <c r="H11" s="83" t="s">
        <v>61</v>
      </c>
      <c r="I11" s="86">
        <v>0.6</v>
      </c>
      <c r="J11" s="86">
        <v>0</v>
      </c>
      <c r="K11" s="86">
        <v>0</v>
      </c>
      <c r="L11" s="87">
        <v>1</v>
      </c>
      <c r="M11" s="87">
        <v>0</v>
      </c>
      <c r="N11" s="87">
        <v>0</v>
      </c>
      <c r="O11" s="83" t="s">
        <v>82</v>
      </c>
      <c r="P11" s="88">
        <v>669300</v>
      </c>
      <c r="Q11" s="89">
        <f t="shared" si="0"/>
        <v>535440</v>
      </c>
      <c r="R11" s="90">
        <f t="shared" si="1"/>
        <v>133860</v>
      </c>
      <c r="S11" s="93">
        <v>0.8</v>
      </c>
      <c r="T11" s="90">
        <f t="shared" si="2"/>
        <v>535440</v>
      </c>
      <c r="U11" s="1" t="b">
        <f t="shared" si="3"/>
        <v>1</v>
      </c>
      <c r="V11" s="34">
        <f t="shared" si="4"/>
        <v>0.8</v>
      </c>
      <c r="W11" s="35" t="b">
        <f t="shared" si="5"/>
        <v>1</v>
      </c>
      <c r="X11" s="35" t="b">
        <f t="shared" si="6"/>
        <v>1</v>
      </c>
    </row>
    <row r="12" spans="1:24" ht="40.700000000000003" customHeight="1" x14ac:dyDescent="0.25">
      <c r="A12" s="91">
        <v>10</v>
      </c>
      <c r="B12" s="83">
        <v>32</v>
      </c>
      <c r="C12" s="92" t="s">
        <v>49</v>
      </c>
      <c r="D12" s="84" t="s">
        <v>85</v>
      </c>
      <c r="E12" s="83">
        <v>2012072</v>
      </c>
      <c r="F12" s="84" t="s">
        <v>86</v>
      </c>
      <c r="G12" s="85" t="s">
        <v>94</v>
      </c>
      <c r="H12" s="83" t="s">
        <v>61</v>
      </c>
      <c r="I12" s="86">
        <v>0.23</v>
      </c>
      <c r="J12" s="86">
        <v>0</v>
      </c>
      <c r="K12" s="86">
        <v>0</v>
      </c>
      <c r="L12" s="87">
        <v>0</v>
      </c>
      <c r="M12" s="87">
        <v>0</v>
      </c>
      <c r="N12" s="87">
        <v>0</v>
      </c>
      <c r="O12" s="83" t="s">
        <v>53</v>
      </c>
      <c r="P12" s="88">
        <v>186000</v>
      </c>
      <c r="Q12" s="89">
        <f t="shared" si="0"/>
        <v>148800</v>
      </c>
      <c r="R12" s="90">
        <f t="shared" si="1"/>
        <v>37200</v>
      </c>
      <c r="S12" s="93">
        <v>0.8</v>
      </c>
      <c r="T12" s="90">
        <f t="shared" si="2"/>
        <v>148800</v>
      </c>
      <c r="U12" s="1" t="b">
        <f t="shared" si="3"/>
        <v>1</v>
      </c>
      <c r="V12" s="34">
        <f t="shared" si="4"/>
        <v>0.8</v>
      </c>
      <c r="W12" s="35" t="b">
        <f t="shared" si="5"/>
        <v>1</v>
      </c>
      <c r="X12" s="35" t="b">
        <f t="shared" si="6"/>
        <v>1</v>
      </c>
    </row>
    <row r="13" spans="1:24" ht="40.700000000000003" customHeight="1" x14ac:dyDescent="0.25">
      <c r="A13" s="91">
        <v>11</v>
      </c>
      <c r="B13" s="83">
        <v>30</v>
      </c>
      <c r="C13" s="92" t="s">
        <v>49</v>
      </c>
      <c r="D13" s="84" t="s">
        <v>73</v>
      </c>
      <c r="E13" s="83">
        <v>2012072</v>
      </c>
      <c r="F13" s="84" t="s">
        <v>74</v>
      </c>
      <c r="G13" s="85" t="s">
        <v>75</v>
      </c>
      <c r="H13" s="83" t="s">
        <v>52</v>
      </c>
      <c r="I13" s="86">
        <v>0.82</v>
      </c>
      <c r="J13" s="86">
        <v>0</v>
      </c>
      <c r="K13" s="86">
        <v>0</v>
      </c>
      <c r="L13" s="87">
        <v>0</v>
      </c>
      <c r="M13" s="87">
        <v>0</v>
      </c>
      <c r="N13" s="87">
        <v>0</v>
      </c>
      <c r="O13" s="83" t="s">
        <v>53</v>
      </c>
      <c r="P13" s="88">
        <v>801600</v>
      </c>
      <c r="Q13" s="89">
        <f t="shared" si="0"/>
        <v>641280</v>
      </c>
      <c r="R13" s="90">
        <f t="shared" si="1"/>
        <v>160320</v>
      </c>
      <c r="S13" s="93">
        <v>0.8</v>
      </c>
      <c r="T13" s="90">
        <f t="shared" si="2"/>
        <v>641280</v>
      </c>
      <c r="U13" s="1" t="b">
        <f t="shared" si="3"/>
        <v>1</v>
      </c>
      <c r="V13" s="34">
        <f t="shared" si="4"/>
        <v>0.8</v>
      </c>
      <c r="W13" s="35" t="b">
        <f t="shared" si="5"/>
        <v>1</v>
      </c>
      <c r="X13" s="35" t="b">
        <f t="shared" si="6"/>
        <v>1</v>
      </c>
    </row>
    <row r="14" spans="1:24" ht="40.5" customHeight="1" x14ac:dyDescent="0.25">
      <c r="A14" s="91">
        <v>12</v>
      </c>
      <c r="B14" s="83">
        <v>37</v>
      </c>
      <c r="C14" s="92" t="s">
        <v>49</v>
      </c>
      <c r="D14" s="84" t="s">
        <v>85</v>
      </c>
      <c r="E14" s="83">
        <v>2011014</v>
      </c>
      <c r="F14" s="84" t="s">
        <v>86</v>
      </c>
      <c r="G14" s="85" t="s">
        <v>130</v>
      </c>
      <c r="H14" s="83" t="s">
        <v>52</v>
      </c>
      <c r="I14" s="86">
        <v>0</v>
      </c>
      <c r="J14" s="86">
        <v>0.59</v>
      </c>
      <c r="K14" s="86">
        <v>0</v>
      </c>
      <c r="L14" s="87">
        <v>0</v>
      </c>
      <c r="M14" s="87">
        <v>0</v>
      </c>
      <c r="N14" s="87">
        <v>0</v>
      </c>
      <c r="O14" s="83" t="s">
        <v>53</v>
      </c>
      <c r="P14" s="88">
        <v>581000</v>
      </c>
      <c r="Q14" s="89">
        <f t="shared" si="0"/>
        <v>464800</v>
      </c>
      <c r="R14" s="90">
        <f t="shared" si="1"/>
        <v>116200</v>
      </c>
      <c r="S14" s="102">
        <v>0.8</v>
      </c>
      <c r="T14" s="90">
        <f t="shared" si="2"/>
        <v>464800</v>
      </c>
      <c r="U14" s="1" t="b">
        <f t="shared" si="3"/>
        <v>1</v>
      </c>
      <c r="V14" s="34">
        <f t="shared" si="4"/>
        <v>0.8</v>
      </c>
      <c r="W14" s="35" t="b">
        <f t="shared" si="5"/>
        <v>1</v>
      </c>
      <c r="X14" s="35" t="b">
        <f t="shared" si="6"/>
        <v>1</v>
      </c>
    </row>
    <row r="15" spans="1:24" ht="40.700000000000003" customHeight="1" x14ac:dyDescent="0.25">
      <c r="A15" s="91">
        <v>13</v>
      </c>
      <c r="B15" s="83">
        <v>29</v>
      </c>
      <c r="C15" s="92" t="s">
        <v>49</v>
      </c>
      <c r="D15" s="84" t="s">
        <v>91</v>
      </c>
      <c r="E15" s="83">
        <v>2003011</v>
      </c>
      <c r="F15" s="84" t="s">
        <v>92</v>
      </c>
      <c r="G15" s="85" t="s">
        <v>93</v>
      </c>
      <c r="H15" s="83" t="s">
        <v>61</v>
      </c>
      <c r="I15" s="86">
        <v>0.371</v>
      </c>
      <c r="J15" s="86">
        <v>0</v>
      </c>
      <c r="K15" s="86">
        <v>0</v>
      </c>
      <c r="L15" s="87">
        <v>3</v>
      </c>
      <c r="M15" s="87">
        <v>0</v>
      </c>
      <c r="N15" s="87">
        <v>0</v>
      </c>
      <c r="O15" s="83" t="s">
        <v>72</v>
      </c>
      <c r="P15" s="88">
        <v>247770</v>
      </c>
      <c r="Q15" s="89">
        <f t="shared" si="0"/>
        <v>198216</v>
      </c>
      <c r="R15" s="90">
        <f t="shared" si="1"/>
        <v>49554</v>
      </c>
      <c r="S15" s="93">
        <v>0.8</v>
      </c>
      <c r="T15" s="90">
        <f t="shared" si="2"/>
        <v>198216</v>
      </c>
      <c r="U15" s="1" t="b">
        <f t="shared" si="3"/>
        <v>1</v>
      </c>
      <c r="V15" s="34">
        <f t="shared" si="4"/>
        <v>0.8</v>
      </c>
      <c r="W15" s="35" t="b">
        <f t="shared" si="5"/>
        <v>1</v>
      </c>
      <c r="X15" s="35" t="b">
        <f t="shared" si="6"/>
        <v>1</v>
      </c>
    </row>
    <row r="16" spans="1:24" ht="40.700000000000003" customHeight="1" x14ac:dyDescent="0.25">
      <c r="A16" s="91">
        <v>14</v>
      </c>
      <c r="B16" s="83">
        <v>33</v>
      </c>
      <c r="C16" s="92" t="s">
        <v>49</v>
      </c>
      <c r="D16" s="84" t="s">
        <v>85</v>
      </c>
      <c r="E16" s="83">
        <v>2011014</v>
      </c>
      <c r="F16" s="84" t="s">
        <v>86</v>
      </c>
      <c r="G16" s="85" t="s">
        <v>121</v>
      </c>
      <c r="H16" s="83" t="s">
        <v>52</v>
      </c>
      <c r="I16" s="86">
        <v>0.26500000000000001</v>
      </c>
      <c r="J16" s="86">
        <v>0</v>
      </c>
      <c r="K16" s="86">
        <v>0</v>
      </c>
      <c r="L16" s="87">
        <v>0</v>
      </c>
      <c r="M16" s="87">
        <v>0</v>
      </c>
      <c r="N16" s="87">
        <v>0</v>
      </c>
      <c r="O16" s="83" t="s">
        <v>53</v>
      </c>
      <c r="P16" s="88">
        <v>167000</v>
      </c>
      <c r="Q16" s="89">
        <f t="shared" si="0"/>
        <v>133600</v>
      </c>
      <c r="R16" s="90">
        <f t="shared" si="1"/>
        <v>33400</v>
      </c>
      <c r="S16" s="93">
        <v>0.8</v>
      </c>
      <c r="T16" s="90">
        <f t="shared" si="2"/>
        <v>133600</v>
      </c>
      <c r="U16" s="1" t="b">
        <f t="shared" si="3"/>
        <v>1</v>
      </c>
      <c r="V16" s="34">
        <f t="shared" si="4"/>
        <v>0.8</v>
      </c>
      <c r="W16" s="35" t="b">
        <f t="shared" si="5"/>
        <v>1</v>
      </c>
      <c r="X16" s="35" t="b">
        <f t="shared" si="6"/>
        <v>1</v>
      </c>
    </row>
    <row r="17" spans="1:24" ht="40.700000000000003" customHeight="1" x14ac:dyDescent="0.25">
      <c r="A17" s="91">
        <v>15</v>
      </c>
      <c r="B17" s="83">
        <v>1</v>
      </c>
      <c r="C17" s="92" t="s">
        <v>49</v>
      </c>
      <c r="D17" s="84" t="s">
        <v>48</v>
      </c>
      <c r="E17" s="83">
        <v>2001011</v>
      </c>
      <c r="F17" s="84" t="s">
        <v>50</v>
      </c>
      <c r="G17" s="85" t="s">
        <v>51</v>
      </c>
      <c r="H17" s="83" t="s">
        <v>52</v>
      </c>
      <c r="I17" s="86">
        <v>0.104</v>
      </c>
      <c r="J17" s="86">
        <v>0</v>
      </c>
      <c r="K17" s="86">
        <v>0</v>
      </c>
      <c r="L17" s="87">
        <v>0</v>
      </c>
      <c r="M17" s="87">
        <v>0</v>
      </c>
      <c r="N17" s="87">
        <v>0</v>
      </c>
      <c r="O17" s="83" t="s">
        <v>53</v>
      </c>
      <c r="P17" s="88">
        <v>102000</v>
      </c>
      <c r="Q17" s="89">
        <f t="shared" si="0"/>
        <v>81600</v>
      </c>
      <c r="R17" s="90">
        <f t="shared" si="1"/>
        <v>20400</v>
      </c>
      <c r="S17" s="93">
        <v>0.8</v>
      </c>
      <c r="T17" s="90">
        <f t="shared" si="2"/>
        <v>81600</v>
      </c>
      <c r="U17" s="1" t="b">
        <f t="shared" si="3"/>
        <v>1</v>
      </c>
      <c r="V17" s="34">
        <f t="shared" si="4"/>
        <v>0.8</v>
      </c>
      <c r="W17" s="35" t="b">
        <f t="shared" si="5"/>
        <v>1</v>
      </c>
      <c r="X17" s="35" t="b">
        <f t="shared" si="6"/>
        <v>1</v>
      </c>
    </row>
    <row r="18" spans="1:24" ht="40.700000000000003" customHeight="1" x14ac:dyDescent="0.25">
      <c r="A18" s="91">
        <v>16</v>
      </c>
      <c r="B18" s="83">
        <v>9</v>
      </c>
      <c r="C18" s="92" t="s">
        <v>49</v>
      </c>
      <c r="D18" s="84" t="s">
        <v>88</v>
      </c>
      <c r="E18" s="83">
        <v>2009022</v>
      </c>
      <c r="F18" s="84" t="s">
        <v>59</v>
      </c>
      <c r="G18" s="85" t="s">
        <v>89</v>
      </c>
      <c r="H18" s="83" t="s">
        <v>52</v>
      </c>
      <c r="I18" s="86">
        <v>0.36</v>
      </c>
      <c r="J18" s="86">
        <v>0</v>
      </c>
      <c r="K18" s="86">
        <v>0</v>
      </c>
      <c r="L18" s="87">
        <v>1</v>
      </c>
      <c r="M18" s="87">
        <v>0</v>
      </c>
      <c r="N18" s="87">
        <v>0</v>
      </c>
      <c r="O18" s="83" t="s">
        <v>90</v>
      </c>
      <c r="P18" s="88">
        <v>291500</v>
      </c>
      <c r="Q18" s="89">
        <f t="shared" si="0"/>
        <v>233200</v>
      </c>
      <c r="R18" s="90">
        <f t="shared" si="1"/>
        <v>58300</v>
      </c>
      <c r="S18" s="93">
        <v>0.8</v>
      </c>
      <c r="T18" s="90">
        <f t="shared" si="2"/>
        <v>233200</v>
      </c>
      <c r="U18" s="1" t="b">
        <f t="shared" si="3"/>
        <v>1</v>
      </c>
      <c r="V18" s="34">
        <f t="shared" si="4"/>
        <v>0.8</v>
      </c>
      <c r="W18" s="35" t="b">
        <f t="shared" si="5"/>
        <v>1</v>
      </c>
      <c r="X18" s="35" t="b">
        <f t="shared" si="6"/>
        <v>1</v>
      </c>
    </row>
    <row r="19" spans="1:24" ht="40.700000000000003" customHeight="1" x14ac:dyDescent="0.25">
      <c r="A19" s="91" t="s">
        <v>142</v>
      </c>
      <c r="B19" s="83">
        <v>46</v>
      </c>
      <c r="C19" s="92" t="s">
        <v>49</v>
      </c>
      <c r="D19" s="84" t="s">
        <v>135</v>
      </c>
      <c r="E19" s="83">
        <v>2007022</v>
      </c>
      <c r="F19" s="84" t="s">
        <v>136</v>
      </c>
      <c r="G19" s="85" t="s">
        <v>137</v>
      </c>
      <c r="H19" s="83" t="s">
        <v>138</v>
      </c>
      <c r="I19" s="86">
        <v>1.1000000000000001</v>
      </c>
      <c r="J19" s="86">
        <v>0</v>
      </c>
      <c r="K19" s="86">
        <v>0</v>
      </c>
      <c r="L19" s="87">
        <v>0</v>
      </c>
      <c r="M19" s="87">
        <v>0</v>
      </c>
      <c r="N19" s="87">
        <v>0</v>
      </c>
      <c r="O19" s="83" t="s">
        <v>53</v>
      </c>
      <c r="P19" s="88">
        <v>712000</v>
      </c>
      <c r="Q19" s="89">
        <f>ROUNDDOWN(P19*S19,2)-76033.18</f>
        <v>493566.82</v>
      </c>
      <c r="R19" s="90">
        <f t="shared" si="1"/>
        <v>218433.18</v>
      </c>
      <c r="S19" s="93">
        <v>0.8</v>
      </c>
      <c r="T19" s="90">
        <f t="shared" si="2"/>
        <v>493566.82</v>
      </c>
      <c r="U19" s="1" t="b">
        <f>Q18=SUM(T18:T18)</f>
        <v>1</v>
      </c>
      <c r="V19" s="34">
        <f t="shared" si="4"/>
        <v>0.69320000000000004</v>
      </c>
      <c r="W19" s="35" t="b">
        <f t="shared" si="5"/>
        <v>0</v>
      </c>
      <c r="X19" s="35" t="b">
        <f t="shared" si="6"/>
        <v>1</v>
      </c>
    </row>
    <row r="20" spans="1:24" ht="20.100000000000001" customHeight="1" x14ac:dyDescent="0.25">
      <c r="A20" s="120" t="s">
        <v>34</v>
      </c>
      <c r="B20" s="120"/>
      <c r="C20" s="120"/>
      <c r="D20" s="120"/>
      <c r="E20" s="120"/>
      <c r="F20" s="120"/>
      <c r="G20" s="120"/>
      <c r="H20" s="120"/>
      <c r="I20" s="94">
        <f t="shared" ref="I20:N20" si="7">SUM(I3:I19)</f>
        <v>6.3310000000000013</v>
      </c>
      <c r="J20" s="94">
        <f t="shared" si="7"/>
        <v>0.8899999999999999</v>
      </c>
      <c r="K20" s="94">
        <f t="shared" si="7"/>
        <v>0</v>
      </c>
      <c r="L20" s="95">
        <f t="shared" si="7"/>
        <v>17</v>
      </c>
      <c r="M20" s="95">
        <f t="shared" si="7"/>
        <v>0</v>
      </c>
      <c r="N20" s="95">
        <f t="shared" si="7"/>
        <v>0</v>
      </c>
      <c r="O20" s="96" t="s">
        <v>11</v>
      </c>
      <c r="P20" s="97">
        <f>SUM(P3:P19)</f>
        <v>9310969.3399999999</v>
      </c>
      <c r="Q20" s="97">
        <f>SUM(Q3:Q19)</f>
        <v>7372742.290000001</v>
      </c>
      <c r="R20" s="97">
        <f>SUM(R3:R19)</f>
        <v>1938227.05</v>
      </c>
      <c r="S20" s="98" t="s">
        <v>11</v>
      </c>
      <c r="T20" s="99">
        <f>SUM(T3:T19)</f>
        <v>7372742.290000001</v>
      </c>
      <c r="U20" s="1" t="b">
        <f>Q20=SUM(T20:T20)</f>
        <v>1</v>
      </c>
      <c r="V20" s="34">
        <f t="shared" si="4"/>
        <v>0.79179999999999995</v>
      </c>
      <c r="W20" s="35" t="s">
        <v>11</v>
      </c>
      <c r="X20" s="35" t="b">
        <f t="shared" si="6"/>
        <v>1</v>
      </c>
    </row>
    <row r="21" spans="1:24" ht="20.100000000000001" customHeight="1" x14ac:dyDescent="0.25">
      <c r="A21" s="29"/>
      <c r="B21" s="29"/>
      <c r="C21" s="29"/>
      <c r="D21" s="29"/>
      <c r="E21" s="29"/>
      <c r="F21" s="29"/>
      <c r="G21" s="29"/>
      <c r="H21" s="29"/>
      <c r="I21" s="121">
        <f>I20+J20+K20</f>
        <v>7.221000000000001</v>
      </c>
      <c r="J21" s="121"/>
      <c r="K21" s="121"/>
      <c r="L21" s="122">
        <f>L20+M20+N20</f>
        <v>17</v>
      </c>
      <c r="M21" s="122"/>
      <c r="N21" s="122"/>
    </row>
    <row r="22" spans="1:24" ht="20.100000000000001" customHeight="1" x14ac:dyDescent="0.25">
      <c r="A22" s="28" t="s">
        <v>45</v>
      </c>
      <c r="B22" s="28"/>
      <c r="C22" s="28"/>
      <c r="D22" s="28"/>
      <c r="E22" s="28"/>
      <c r="F22" s="28"/>
      <c r="G22" s="28"/>
      <c r="H22" s="28"/>
      <c r="I22" s="11"/>
      <c r="J22" s="11"/>
      <c r="K22" s="11"/>
      <c r="L22" s="11"/>
      <c r="M22" s="11"/>
      <c r="N22" s="11"/>
      <c r="O22" s="11"/>
      <c r="P22" s="5"/>
      <c r="Q22" s="11"/>
      <c r="R22" s="11"/>
      <c r="T22" s="11"/>
      <c r="U22" s="1"/>
      <c r="X22" s="35"/>
    </row>
    <row r="23" spans="1:24" ht="28.5" customHeight="1" x14ac:dyDescent="0.25">
      <c r="A23" s="119" t="s">
        <v>33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"/>
      <c r="V23" s="3"/>
      <c r="W23" s="3"/>
      <c r="X23" s="3"/>
    </row>
    <row r="24" spans="1:24" x14ac:dyDescent="0.25">
      <c r="B24" s="30"/>
      <c r="C24" s="30"/>
      <c r="D24" s="30"/>
      <c r="E24" s="30"/>
      <c r="F24" s="30"/>
      <c r="G24" s="30"/>
      <c r="H24" s="30"/>
      <c r="P24" s="25"/>
      <c r="V24" s="3"/>
      <c r="W24" s="3"/>
      <c r="X24" s="3"/>
    </row>
    <row r="25" spans="1:24" x14ac:dyDescent="0.25">
      <c r="J25" s="35" t="b">
        <f>I20+J20+K20=I21</f>
        <v>1</v>
      </c>
      <c r="M25" s="35" t="b">
        <f>L20+M20+N20=L21</f>
        <v>1</v>
      </c>
      <c r="V25" s="3"/>
      <c r="W25" s="3"/>
      <c r="X25" s="3"/>
    </row>
  </sheetData>
  <mergeCells count="19">
    <mergeCell ref="I1:K1"/>
    <mergeCell ref="L1:N1"/>
    <mergeCell ref="I21:K21"/>
    <mergeCell ref="L21:N21"/>
    <mergeCell ref="S1:S2"/>
    <mergeCell ref="A20:H20"/>
    <mergeCell ref="A23:T23"/>
    <mergeCell ref="F1:F2"/>
    <mergeCell ref="H1:H2"/>
    <mergeCell ref="O1:O2"/>
    <mergeCell ref="P1:P2"/>
    <mergeCell ref="Q1:Q2"/>
    <mergeCell ref="R1:R2"/>
    <mergeCell ref="A1:A2"/>
    <mergeCell ref="B1:B2"/>
    <mergeCell ref="C1:C2"/>
    <mergeCell ref="D1:D2"/>
    <mergeCell ref="E1:E2"/>
    <mergeCell ref="G1:G2"/>
  </mergeCells>
  <conditionalFormatting sqref="U15:X20 U3:X13">
    <cfRule type="cellIs" dxfId="31" priority="11" operator="equal">
      <formula>FALSE</formula>
    </cfRule>
  </conditionalFormatting>
  <conditionalFormatting sqref="U15:W20 U3:W13">
    <cfRule type="containsText" dxfId="30" priority="9" operator="containsText" text="fałsz">
      <formula>NOT(ISERROR(SEARCH("fałsz",U3)))</formula>
    </cfRule>
  </conditionalFormatting>
  <conditionalFormatting sqref="X22">
    <cfRule type="cellIs" dxfId="29" priority="8" operator="equal">
      <formula>FALSE</formula>
    </cfRule>
  </conditionalFormatting>
  <conditionalFormatting sqref="X22">
    <cfRule type="cellIs" dxfId="28" priority="7" operator="equal">
      <formula>FALSE</formula>
    </cfRule>
  </conditionalFormatting>
  <conditionalFormatting sqref="J25">
    <cfRule type="cellIs" dxfId="27" priority="6" operator="equal">
      <formula>FALSE</formula>
    </cfRule>
  </conditionalFormatting>
  <conditionalFormatting sqref="J25">
    <cfRule type="cellIs" dxfId="26" priority="5" operator="equal">
      <formula>FALSE</formula>
    </cfRule>
  </conditionalFormatting>
  <conditionalFormatting sqref="M25">
    <cfRule type="cellIs" dxfId="25" priority="4" operator="equal">
      <formula>FALSE</formula>
    </cfRule>
  </conditionalFormatting>
  <conditionalFormatting sqref="M25">
    <cfRule type="cellIs" dxfId="24" priority="3" operator="equal">
      <formula>FALSE</formula>
    </cfRule>
  </conditionalFormatting>
  <conditionalFormatting sqref="U14:X14">
    <cfRule type="cellIs" dxfId="23" priority="2" operator="equal">
      <formula>FALSE</formula>
    </cfRule>
  </conditionalFormatting>
  <dataValidations count="1">
    <dataValidation type="list" allowBlank="1" showInputMessage="1" showErrorMessage="1" sqref="C3:C19" xr:uid="{00000000-0002-0000-0200-000000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56" fitToHeight="0" orientation="landscape" r:id="rId1"/>
  <headerFooter>
    <oddHeader>&amp;LWojewództwo Podlaskie - zadania gminne lista podstawowa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6" operator="containsText" text="fałsz" id="{ECE3B208-52D8-4C2C-AB7F-34FBB6576B2E}">
            <xm:f>NOT(ISERROR(SEARCH("fałsz",'gm rez'!#REF!)))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U14:W14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9"/>
  <sheetViews>
    <sheetView showGridLines="0" view="pageBreakPreview" zoomScale="85" zoomScaleNormal="78" zoomScaleSheetLayoutView="85" workbookViewId="0">
      <selection activeCell="C13" sqref="C13"/>
    </sheetView>
  </sheetViews>
  <sheetFormatPr defaultColWidth="9.140625" defaultRowHeight="15" x14ac:dyDescent="0.25"/>
  <cols>
    <col min="1" max="1" width="8.42578125" style="3" customWidth="1"/>
    <col min="2" max="2" width="11.85546875" style="3" customWidth="1"/>
    <col min="3" max="3" width="15.7109375" style="3" customWidth="1"/>
    <col min="4" max="4" width="19.42578125" style="3" customWidth="1"/>
    <col min="5" max="5" width="15.7109375" style="3" customWidth="1"/>
    <col min="6" max="6" width="63.140625" style="3" customWidth="1"/>
    <col min="7" max="13" width="15.7109375" style="3" customWidth="1"/>
    <col min="14" max="14" width="17" style="3" customWidth="1"/>
    <col min="15" max="15" width="15.7109375" style="4" customWidth="1"/>
    <col min="16" max="17" width="15.7109375" style="3" customWidth="1"/>
    <col min="18" max="18" width="15.7109375" style="1" customWidth="1"/>
    <col min="19" max="19" width="15.7109375" style="3" customWidth="1"/>
    <col min="20" max="20" width="15.7109375" style="32" customWidth="1"/>
    <col min="21" max="22" width="15.7109375" style="1" customWidth="1"/>
    <col min="23" max="23" width="15.7109375" style="32" customWidth="1"/>
    <col min="24" max="16384" width="9.140625" style="3"/>
  </cols>
  <sheetData>
    <row r="1" spans="1:23" ht="33.75" customHeight="1" x14ac:dyDescent="0.25">
      <c r="A1" s="114" t="s">
        <v>4</v>
      </c>
      <c r="B1" s="114" t="s">
        <v>5</v>
      </c>
      <c r="C1" s="115" t="s">
        <v>36</v>
      </c>
      <c r="D1" s="117" t="s">
        <v>6</v>
      </c>
      <c r="E1" s="117" t="s">
        <v>26</v>
      </c>
      <c r="F1" s="117" t="s">
        <v>7</v>
      </c>
      <c r="G1" s="114" t="s">
        <v>21</v>
      </c>
      <c r="H1" s="123" t="s">
        <v>44</v>
      </c>
      <c r="I1" s="124"/>
      <c r="J1" s="125"/>
      <c r="K1" s="123" t="s">
        <v>40</v>
      </c>
      <c r="L1" s="124"/>
      <c r="M1" s="125"/>
      <c r="N1" s="114" t="s">
        <v>20</v>
      </c>
      <c r="O1" s="113" t="s">
        <v>8</v>
      </c>
      <c r="P1" s="114" t="s">
        <v>13</v>
      </c>
      <c r="Q1" s="117" t="s">
        <v>10</v>
      </c>
      <c r="R1" s="114" t="s">
        <v>9</v>
      </c>
      <c r="S1" s="81" t="s">
        <v>35</v>
      </c>
      <c r="T1" s="1"/>
    </row>
    <row r="2" spans="1:23" ht="48" customHeight="1" x14ac:dyDescent="0.25">
      <c r="A2" s="114"/>
      <c r="B2" s="114"/>
      <c r="C2" s="116"/>
      <c r="D2" s="118"/>
      <c r="E2" s="118"/>
      <c r="F2" s="118"/>
      <c r="G2" s="114"/>
      <c r="H2" s="81" t="s">
        <v>41</v>
      </c>
      <c r="I2" s="81" t="s">
        <v>42</v>
      </c>
      <c r="J2" s="81" t="s">
        <v>43</v>
      </c>
      <c r="K2" s="81" t="s">
        <v>37</v>
      </c>
      <c r="L2" s="81" t="s">
        <v>38</v>
      </c>
      <c r="M2" s="81" t="s">
        <v>39</v>
      </c>
      <c r="N2" s="114"/>
      <c r="O2" s="113"/>
      <c r="P2" s="114"/>
      <c r="Q2" s="118"/>
      <c r="R2" s="114"/>
      <c r="S2" s="81">
        <v>2023</v>
      </c>
      <c r="T2" s="1" t="s">
        <v>22</v>
      </c>
      <c r="U2" s="1" t="s">
        <v>23</v>
      </c>
      <c r="V2" s="1" t="s">
        <v>24</v>
      </c>
      <c r="W2" s="33" t="s">
        <v>25</v>
      </c>
    </row>
    <row r="3" spans="1:23" ht="40.5" customHeight="1" x14ac:dyDescent="0.25">
      <c r="A3" s="101" t="s">
        <v>143</v>
      </c>
      <c r="B3" s="83">
        <v>47</v>
      </c>
      <c r="C3" s="92" t="s">
        <v>49</v>
      </c>
      <c r="D3" s="83" t="s">
        <v>122</v>
      </c>
      <c r="E3" s="83">
        <v>2011</v>
      </c>
      <c r="F3" s="85" t="s">
        <v>123</v>
      </c>
      <c r="G3" s="83" t="s">
        <v>52</v>
      </c>
      <c r="H3" s="86">
        <v>0</v>
      </c>
      <c r="I3" s="86">
        <v>5.25</v>
      </c>
      <c r="J3" s="86">
        <v>0</v>
      </c>
      <c r="K3" s="87">
        <v>0</v>
      </c>
      <c r="L3" s="87">
        <v>0</v>
      </c>
      <c r="M3" s="87">
        <v>0</v>
      </c>
      <c r="N3" s="83" t="s">
        <v>53</v>
      </c>
      <c r="O3" s="88">
        <v>7665000</v>
      </c>
      <c r="P3" s="89">
        <f>ROUNDDOWN(O3*R3,2)-602443.28</f>
        <v>5529556.7199999997</v>
      </c>
      <c r="Q3" s="90">
        <f>O3-P3</f>
        <v>2135443.2800000003</v>
      </c>
      <c r="R3" s="102">
        <v>0.8</v>
      </c>
      <c r="S3" s="90">
        <f>P3</f>
        <v>5529556.7199999997</v>
      </c>
      <c r="T3" s="1" t="b">
        <f t="shared" ref="T3" si="0">P3=SUM(S3:S3)</f>
        <v>1</v>
      </c>
      <c r="U3" s="34">
        <f>ROUND(P3/O3,4)</f>
        <v>0.72140000000000004</v>
      </c>
      <c r="V3" s="35" t="b">
        <f>U3=R3</f>
        <v>0</v>
      </c>
      <c r="W3" s="35" t="b">
        <f t="shared" ref="W3" si="1">O3=P3+Q3</f>
        <v>1</v>
      </c>
    </row>
    <row r="4" spans="1:23" ht="20.100000000000001" customHeight="1" x14ac:dyDescent="0.25">
      <c r="A4" s="126" t="s">
        <v>34</v>
      </c>
      <c r="B4" s="126"/>
      <c r="C4" s="126"/>
      <c r="D4" s="126"/>
      <c r="E4" s="126"/>
      <c r="F4" s="126"/>
      <c r="G4" s="126"/>
      <c r="H4" s="36">
        <f t="shared" ref="H4:M4" si="2">SUM(H3:H3)</f>
        <v>0</v>
      </c>
      <c r="I4" s="36">
        <f t="shared" si="2"/>
        <v>5.25</v>
      </c>
      <c r="J4" s="36">
        <f t="shared" si="2"/>
        <v>0</v>
      </c>
      <c r="K4" s="82">
        <f t="shared" si="2"/>
        <v>0</v>
      </c>
      <c r="L4" s="82">
        <f t="shared" si="2"/>
        <v>0</v>
      </c>
      <c r="M4" s="82">
        <f t="shared" si="2"/>
        <v>0</v>
      </c>
      <c r="N4" s="37" t="s">
        <v>11</v>
      </c>
      <c r="O4" s="38">
        <f>SUM(O3:O3)</f>
        <v>7665000</v>
      </c>
      <c r="P4" s="38">
        <f>SUM(P3:P3)</f>
        <v>5529556.7199999997</v>
      </c>
      <c r="Q4" s="38">
        <f>SUM(Q3:Q3)</f>
        <v>2135443.2800000003</v>
      </c>
      <c r="R4" s="40" t="s">
        <v>11</v>
      </c>
      <c r="S4" s="39">
        <f>SUM(S3:S3)</f>
        <v>5529556.7199999997</v>
      </c>
      <c r="T4" s="1" t="b">
        <f>P4=SUM(S4:S4)</f>
        <v>1</v>
      </c>
      <c r="U4" s="34">
        <f>ROUND(P4/O4,4)</f>
        <v>0.72140000000000004</v>
      </c>
      <c r="V4" s="35" t="s">
        <v>11</v>
      </c>
      <c r="W4" s="35" t="b">
        <f>O4=P4+Q4</f>
        <v>1</v>
      </c>
    </row>
    <row r="5" spans="1:23" ht="20.100000000000001" customHeight="1" x14ac:dyDescent="0.25">
      <c r="A5" s="29"/>
      <c r="B5" s="29"/>
      <c r="C5" s="29"/>
      <c r="D5" s="29"/>
      <c r="E5" s="29"/>
      <c r="F5" s="29"/>
      <c r="G5" s="29"/>
      <c r="H5" s="121">
        <f>H4+I4+J4</f>
        <v>5.25</v>
      </c>
      <c r="I5" s="121"/>
      <c r="J5" s="121"/>
      <c r="K5" s="122">
        <f>K4+L4+M4</f>
        <v>0</v>
      </c>
      <c r="L5" s="122"/>
      <c r="M5" s="122"/>
    </row>
    <row r="6" spans="1:23" ht="20.100000000000001" customHeight="1" x14ac:dyDescent="0.25">
      <c r="A6" s="28" t="s">
        <v>45</v>
      </c>
      <c r="B6" s="28"/>
      <c r="C6" s="28"/>
      <c r="D6" s="28"/>
      <c r="E6" s="28"/>
      <c r="F6" s="28"/>
      <c r="G6" s="28"/>
      <c r="H6" s="11"/>
      <c r="I6" s="11"/>
      <c r="J6" s="11"/>
      <c r="K6" s="11"/>
      <c r="L6" s="11"/>
      <c r="M6" s="11"/>
      <c r="N6" s="11"/>
      <c r="O6" s="5"/>
      <c r="P6" s="11"/>
      <c r="Q6" s="11"/>
      <c r="S6" s="11"/>
      <c r="T6" s="1"/>
      <c r="W6" s="35"/>
    </row>
    <row r="7" spans="1:23" ht="28.5" customHeight="1" x14ac:dyDescent="0.25">
      <c r="A7" s="119" t="s">
        <v>33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"/>
    </row>
    <row r="8" spans="1:23" x14ac:dyDescent="0.25">
      <c r="B8" s="30"/>
      <c r="C8" s="30"/>
      <c r="D8" s="30"/>
      <c r="E8" s="30"/>
      <c r="F8" s="30"/>
      <c r="G8" s="30"/>
      <c r="O8" s="25"/>
    </row>
    <row r="9" spans="1:23" x14ac:dyDescent="0.25">
      <c r="I9" s="35" t="b">
        <f>H4+I4+J4=H5</f>
        <v>1</v>
      </c>
      <c r="L9" s="35" t="b">
        <f>K4+L4+M4=K5</f>
        <v>1</v>
      </c>
    </row>
  </sheetData>
  <mergeCells count="18">
    <mergeCell ref="A7:S7"/>
    <mergeCell ref="P1:P2"/>
    <mergeCell ref="Q1:Q2"/>
    <mergeCell ref="R1:R2"/>
    <mergeCell ref="A4:G4"/>
    <mergeCell ref="H5:J5"/>
    <mergeCell ref="K5:M5"/>
    <mergeCell ref="F1:F2"/>
    <mergeCell ref="G1:G2"/>
    <mergeCell ref="H1:J1"/>
    <mergeCell ref="K1:M1"/>
    <mergeCell ref="N1:N2"/>
    <mergeCell ref="O1:O2"/>
    <mergeCell ref="A1:A2"/>
    <mergeCell ref="B1:B2"/>
    <mergeCell ref="C1:C2"/>
    <mergeCell ref="D1:D2"/>
    <mergeCell ref="E1:E2"/>
  </mergeCells>
  <conditionalFormatting sqref="T3:W4">
    <cfRule type="cellIs" dxfId="21" priority="9" operator="equal">
      <formula>FALSE</formula>
    </cfRule>
  </conditionalFormatting>
  <conditionalFormatting sqref="T3:V4">
    <cfRule type="containsText" dxfId="20" priority="7" operator="containsText" text="fałsz">
      <formula>NOT(ISERROR(SEARCH("fałsz",T3)))</formula>
    </cfRule>
  </conditionalFormatting>
  <conditionalFormatting sqref="W6">
    <cfRule type="cellIs" dxfId="19" priority="6" operator="equal">
      <formula>FALSE</formula>
    </cfRule>
  </conditionalFormatting>
  <conditionalFormatting sqref="W6">
    <cfRule type="cellIs" dxfId="18" priority="5" operator="equal">
      <formula>FALSE</formula>
    </cfRule>
  </conditionalFormatting>
  <conditionalFormatting sqref="I9">
    <cfRule type="cellIs" dxfId="17" priority="4" operator="equal">
      <formula>FALSE</formula>
    </cfRule>
  </conditionalFormatting>
  <conditionalFormatting sqref="I9">
    <cfRule type="cellIs" dxfId="16" priority="3" operator="equal">
      <formula>FALSE</formula>
    </cfRule>
  </conditionalFormatting>
  <conditionalFormatting sqref="L9">
    <cfRule type="cellIs" dxfId="15" priority="2" operator="equal">
      <formula>FALSE</formula>
    </cfRule>
  </conditionalFormatting>
  <conditionalFormatting sqref="L9">
    <cfRule type="cellIs" dxfId="14" priority="1" operator="equal">
      <formula>FALSE</formula>
    </cfRule>
  </conditionalFormatting>
  <dataValidations count="1">
    <dataValidation type="list" allowBlank="1" showInputMessage="1" showErrorMessage="1" sqref="C3" xr:uid="{00000000-0002-0000-0300-000000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60" fitToHeight="0" orientation="landscape" r:id="rId1"/>
  <headerFooter>
    <oddHeader>&amp;LWojewództwo Podlaskie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21"/>
  <sheetViews>
    <sheetView showGridLines="0" view="pageBreakPreview" zoomScale="85" zoomScaleNormal="78" zoomScaleSheetLayoutView="85" zoomScalePageLayoutView="70" workbookViewId="0">
      <selection activeCell="D11" sqref="D11"/>
    </sheetView>
  </sheetViews>
  <sheetFormatPr defaultColWidth="9.140625" defaultRowHeight="15" x14ac:dyDescent="0.25"/>
  <cols>
    <col min="1" max="1" width="8.42578125" style="3" customWidth="1"/>
    <col min="2" max="2" width="11.85546875" style="3" customWidth="1"/>
    <col min="3" max="3" width="15.7109375" style="3" customWidth="1"/>
    <col min="4" max="4" width="19.42578125" style="3" customWidth="1"/>
    <col min="5" max="6" width="15.7109375" style="3" customWidth="1"/>
    <col min="7" max="7" width="63.28515625" style="3" customWidth="1"/>
    <col min="8" max="14" width="15.7109375" style="3" customWidth="1"/>
    <col min="15" max="15" width="16.85546875" style="3" customWidth="1"/>
    <col min="16" max="16" width="15.7109375" style="4" customWidth="1"/>
    <col min="17" max="18" width="15.7109375" style="3" customWidth="1"/>
    <col min="19" max="19" width="15.7109375" style="1" customWidth="1"/>
    <col min="20" max="20" width="15.7109375" style="3" customWidth="1"/>
    <col min="21" max="21" width="15.7109375" style="32" customWidth="1"/>
    <col min="22" max="23" width="15.7109375" style="1" customWidth="1"/>
    <col min="24" max="24" width="15.7109375" style="32" customWidth="1"/>
    <col min="25" max="16384" width="9.140625" style="3"/>
  </cols>
  <sheetData>
    <row r="1" spans="1:24" ht="33.75" customHeight="1" x14ac:dyDescent="0.25">
      <c r="A1" s="114" t="s">
        <v>4</v>
      </c>
      <c r="B1" s="114" t="s">
        <v>5</v>
      </c>
      <c r="C1" s="115" t="s">
        <v>36</v>
      </c>
      <c r="D1" s="117" t="s">
        <v>6</v>
      </c>
      <c r="E1" s="117" t="s">
        <v>26</v>
      </c>
      <c r="F1" s="117" t="s">
        <v>12</v>
      </c>
      <c r="G1" s="117" t="s">
        <v>7</v>
      </c>
      <c r="H1" s="114" t="s">
        <v>21</v>
      </c>
      <c r="I1" s="123" t="s">
        <v>44</v>
      </c>
      <c r="J1" s="124"/>
      <c r="K1" s="125"/>
      <c r="L1" s="123" t="s">
        <v>40</v>
      </c>
      <c r="M1" s="124"/>
      <c r="N1" s="125"/>
      <c r="O1" s="114" t="s">
        <v>20</v>
      </c>
      <c r="P1" s="113" t="s">
        <v>8</v>
      </c>
      <c r="Q1" s="114" t="s">
        <v>13</v>
      </c>
      <c r="R1" s="117" t="s">
        <v>10</v>
      </c>
      <c r="S1" s="114" t="s">
        <v>9</v>
      </c>
      <c r="T1" s="81" t="s">
        <v>35</v>
      </c>
      <c r="U1" s="1"/>
    </row>
    <row r="2" spans="1:24" ht="48" customHeight="1" x14ac:dyDescent="0.25">
      <c r="A2" s="114"/>
      <c r="B2" s="114"/>
      <c r="C2" s="116"/>
      <c r="D2" s="118"/>
      <c r="E2" s="118"/>
      <c r="F2" s="118"/>
      <c r="G2" s="118"/>
      <c r="H2" s="114"/>
      <c r="I2" s="81" t="s">
        <v>41</v>
      </c>
      <c r="J2" s="81" t="s">
        <v>42</v>
      </c>
      <c r="K2" s="81" t="s">
        <v>43</v>
      </c>
      <c r="L2" s="81" t="s">
        <v>37</v>
      </c>
      <c r="M2" s="81" t="s">
        <v>38</v>
      </c>
      <c r="N2" s="81" t="s">
        <v>39</v>
      </c>
      <c r="O2" s="114"/>
      <c r="P2" s="113"/>
      <c r="Q2" s="114"/>
      <c r="R2" s="118"/>
      <c r="S2" s="114"/>
      <c r="T2" s="81">
        <v>2023</v>
      </c>
      <c r="U2" s="1" t="s">
        <v>22</v>
      </c>
      <c r="V2" s="1" t="s">
        <v>23</v>
      </c>
      <c r="W2" s="1" t="s">
        <v>24</v>
      </c>
      <c r="X2" s="33" t="s">
        <v>25</v>
      </c>
    </row>
    <row r="3" spans="1:24" ht="40.5" customHeight="1" x14ac:dyDescent="0.25">
      <c r="A3" s="91">
        <v>1</v>
      </c>
      <c r="B3" s="83">
        <v>25</v>
      </c>
      <c r="C3" s="92" t="s">
        <v>49</v>
      </c>
      <c r="D3" s="84" t="s">
        <v>67</v>
      </c>
      <c r="E3" s="83">
        <v>2004022</v>
      </c>
      <c r="F3" s="84" t="s">
        <v>64</v>
      </c>
      <c r="G3" s="85" t="s">
        <v>68</v>
      </c>
      <c r="H3" s="83" t="s">
        <v>52</v>
      </c>
      <c r="I3" s="86">
        <v>0.73399999999999999</v>
      </c>
      <c r="J3" s="86">
        <v>0</v>
      </c>
      <c r="K3" s="86">
        <v>0</v>
      </c>
      <c r="L3" s="87">
        <v>1</v>
      </c>
      <c r="M3" s="87">
        <v>0</v>
      </c>
      <c r="N3" s="87">
        <v>0</v>
      </c>
      <c r="O3" s="83" t="s">
        <v>62</v>
      </c>
      <c r="P3" s="88">
        <v>792842.32</v>
      </c>
      <c r="Q3" s="89">
        <f t="shared" ref="Q3:Q14" si="0">ROUNDDOWN(P3*S3,2)</f>
        <v>634273.85</v>
      </c>
      <c r="R3" s="90">
        <f t="shared" ref="R3:R15" si="1">P3-Q3</f>
        <v>158568.46999999997</v>
      </c>
      <c r="S3" s="93">
        <v>0.8</v>
      </c>
      <c r="T3" s="90">
        <f t="shared" ref="T3:T15" si="2">Q3</f>
        <v>634273.85</v>
      </c>
      <c r="U3" s="1" t="b">
        <f>Q5=SUM(T5:T5)</f>
        <v>1</v>
      </c>
      <c r="V3" s="34">
        <f>ROUND(Q5/P5,4)</f>
        <v>0.8</v>
      </c>
      <c r="W3" s="35" t="b">
        <f>V3=S5</f>
        <v>1</v>
      </c>
      <c r="X3" s="35" t="b">
        <f>P5=Q5+R5</f>
        <v>1</v>
      </c>
    </row>
    <row r="4" spans="1:24" ht="40.5" customHeight="1" x14ac:dyDescent="0.25">
      <c r="A4" s="91">
        <v>2</v>
      </c>
      <c r="B4" s="83">
        <v>40</v>
      </c>
      <c r="C4" s="92" t="s">
        <v>49</v>
      </c>
      <c r="D4" s="84" t="s">
        <v>131</v>
      </c>
      <c r="E4" s="83">
        <v>2011084</v>
      </c>
      <c r="F4" s="84" t="s">
        <v>86</v>
      </c>
      <c r="G4" s="85" t="s">
        <v>132</v>
      </c>
      <c r="H4" s="83" t="s">
        <v>61</v>
      </c>
      <c r="I4" s="86">
        <v>0.10199999999999999</v>
      </c>
      <c r="J4" s="86">
        <v>0</v>
      </c>
      <c r="K4" s="86">
        <v>0</v>
      </c>
      <c r="L4" s="87">
        <v>4</v>
      </c>
      <c r="M4" s="87">
        <v>0</v>
      </c>
      <c r="N4" s="87">
        <v>0</v>
      </c>
      <c r="O4" s="83" t="s">
        <v>133</v>
      </c>
      <c r="P4" s="88">
        <v>645000</v>
      </c>
      <c r="Q4" s="89">
        <f t="shared" si="0"/>
        <v>516000</v>
      </c>
      <c r="R4" s="90">
        <f t="shared" si="1"/>
        <v>129000</v>
      </c>
      <c r="S4" s="102">
        <v>0.8</v>
      </c>
      <c r="T4" s="90">
        <f t="shared" si="2"/>
        <v>516000</v>
      </c>
      <c r="U4" s="1" t="b">
        <f>Q6=SUM(T6:T6)</f>
        <v>1</v>
      </c>
      <c r="V4" s="34">
        <f>ROUND(Q6/P6,4)</f>
        <v>0.8</v>
      </c>
      <c r="W4" s="35" t="b">
        <f>V4=S6</f>
        <v>1</v>
      </c>
      <c r="X4" s="35" t="b">
        <f>P6=Q6+R6</f>
        <v>1</v>
      </c>
    </row>
    <row r="5" spans="1:24" ht="40.5" customHeight="1" x14ac:dyDescent="0.25">
      <c r="A5" s="91">
        <v>3</v>
      </c>
      <c r="B5" s="83">
        <v>3</v>
      </c>
      <c r="C5" s="92" t="s">
        <v>49</v>
      </c>
      <c r="D5" s="84" t="s">
        <v>48</v>
      </c>
      <c r="E5" s="83">
        <v>2001011</v>
      </c>
      <c r="F5" s="84" t="s">
        <v>50</v>
      </c>
      <c r="G5" s="85" t="s">
        <v>125</v>
      </c>
      <c r="H5" s="83" t="s">
        <v>52</v>
      </c>
      <c r="I5" s="86">
        <v>0</v>
      </c>
      <c r="J5" s="86">
        <v>0</v>
      </c>
      <c r="K5" s="86">
        <v>0</v>
      </c>
      <c r="L5" s="87">
        <v>1</v>
      </c>
      <c r="M5" s="87">
        <v>0</v>
      </c>
      <c r="N5" s="87">
        <v>0</v>
      </c>
      <c r="O5" s="83" t="s">
        <v>53</v>
      </c>
      <c r="P5" s="88">
        <v>177000</v>
      </c>
      <c r="Q5" s="89">
        <f t="shared" si="0"/>
        <v>141600</v>
      </c>
      <c r="R5" s="90">
        <f t="shared" si="1"/>
        <v>35400</v>
      </c>
      <c r="S5" s="102">
        <v>0.8</v>
      </c>
      <c r="T5" s="90">
        <f t="shared" si="2"/>
        <v>141600</v>
      </c>
      <c r="U5" s="1" t="b">
        <f>Q4=SUM(T4:T4)</f>
        <v>1</v>
      </c>
      <c r="V5" s="34">
        <f>ROUND(Q4/P4,4)</f>
        <v>0.8</v>
      </c>
      <c r="W5" s="35" t="b">
        <f>V5=S4</f>
        <v>1</v>
      </c>
      <c r="X5" s="35" t="b">
        <f>P4=Q4+R4</f>
        <v>1</v>
      </c>
    </row>
    <row r="6" spans="1:24" ht="40.5" customHeight="1" x14ac:dyDescent="0.25">
      <c r="A6" s="91">
        <v>4</v>
      </c>
      <c r="B6" s="83">
        <v>41</v>
      </c>
      <c r="C6" s="92" t="s">
        <v>49</v>
      </c>
      <c r="D6" s="84" t="s">
        <v>131</v>
      </c>
      <c r="E6" s="83">
        <v>2011084</v>
      </c>
      <c r="F6" s="84" t="s">
        <v>86</v>
      </c>
      <c r="G6" s="85" t="s">
        <v>134</v>
      </c>
      <c r="H6" s="83" t="s">
        <v>61</v>
      </c>
      <c r="I6" s="86">
        <v>0.1</v>
      </c>
      <c r="J6" s="86">
        <v>0</v>
      </c>
      <c r="K6" s="86">
        <v>0</v>
      </c>
      <c r="L6" s="87">
        <v>4</v>
      </c>
      <c r="M6" s="87">
        <v>0</v>
      </c>
      <c r="N6" s="87">
        <v>0</v>
      </c>
      <c r="O6" s="83" t="s">
        <v>53</v>
      </c>
      <c r="P6" s="88">
        <v>645000</v>
      </c>
      <c r="Q6" s="89">
        <f t="shared" si="0"/>
        <v>516000</v>
      </c>
      <c r="R6" s="90">
        <f t="shared" si="1"/>
        <v>129000</v>
      </c>
      <c r="S6" s="102">
        <v>0.8</v>
      </c>
      <c r="T6" s="90">
        <f t="shared" si="2"/>
        <v>516000</v>
      </c>
      <c r="U6" s="1" t="e">
        <f>'gm podst'!Q19=SUM(#REF!)</f>
        <v>#REF!</v>
      </c>
      <c r="V6" s="34">
        <f>ROUND('gm podst'!Q19/'gm podst'!P19,4)</f>
        <v>0.69320000000000004</v>
      </c>
      <c r="W6" s="35" t="e">
        <f>V6=#REF!</f>
        <v>#REF!</v>
      </c>
      <c r="X6" s="35" t="e">
        <f>'gm podst'!P19='gm podst'!Q19+#REF!</f>
        <v>#REF!</v>
      </c>
    </row>
    <row r="7" spans="1:24" ht="40.5" customHeight="1" x14ac:dyDescent="0.25">
      <c r="A7" s="91">
        <v>5</v>
      </c>
      <c r="B7" s="83">
        <v>31</v>
      </c>
      <c r="C7" s="92" t="s">
        <v>49</v>
      </c>
      <c r="D7" s="84" t="s">
        <v>73</v>
      </c>
      <c r="E7" s="83">
        <v>2012072</v>
      </c>
      <c r="F7" s="84" t="s">
        <v>74</v>
      </c>
      <c r="G7" s="85" t="s">
        <v>129</v>
      </c>
      <c r="H7" s="83" t="s">
        <v>52</v>
      </c>
      <c r="I7" s="86">
        <v>0.38</v>
      </c>
      <c r="J7" s="86">
        <v>0</v>
      </c>
      <c r="K7" s="86">
        <v>0.42099999999999999</v>
      </c>
      <c r="L7" s="87">
        <v>2</v>
      </c>
      <c r="M7" s="87">
        <v>0</v>
      </c>
      <c r="N7" s="87">
        <v>0</v>
      </c>
      <c r="O7" s="83" t="s">
        <v>53</v>
      </c>
      <c r="P7" s="88">
        <v>2301600</v>
      </c>
      <c r="Q7" s="89">
        <f t="shared" si="0"/>
        <v>1841280</v>
      </c>
      <c r="R7" s="90">
        <f t="shared" si="1"/>
        <v>460320</v>
      </c>
      <c r="S7" s="102">
        <v>0.8</v>
      </c>
      <c r="T7" s="90">
        <f t="shared" si="2"/>
        <v>1841280</v>
      </c>
      <c r="U7" s="1" t="b">
        <f>Q7=SUM(T7:T7)</f>
        <v>1</v>
      </c>
      <c r="V7" s="34">
        <f>ROUND(Q7/P7,4)</f>
        <v>0.8</v>
      </c>
      <c r="W7" s="35" t="b">
        <f>V7=S7</f>
        <v>1</v>
      </c>
      <c r="X7" s="35" t="b">
        <f>P7=Q7+R7</f>
        <v>1</v>
      </c>
    </row>
    <row r="8" spans="1:24" ht="40.700000000000003" customHeight="1" x14ac:dyDescent="0.25">
      <c r="A8" s="91">
        <v>6</v>
      </c>
      <c r="B8" s="83">
        <v>38</v>
      </c>
      <c r="C8" s="92" t="s">
        <v>49</v>
      </c>
      <c r="D8" s="84" t="s">
        <v>131</v>
      </c>
      <c r="E8" s="83">
        <v>2011084</v>
      </c>
      <c r="F8" s="84" t="s">
        <v>86</v>
      </c>
      <c r="G8" s="85" t="s">
        <v>141</v>
      </c>
      <c r="H8" s="83" t="s">
        <v>61</v>
      </c>
      <c r="I8" s="86">
        <v>0.16</v>
      </c>
      <c r="J8" s="86">
        <v>0</v>
      </c>
      <c r="K8" s="86">
        <v>0</v>
      </c>
      <c r="L8" s="87">
        <v>4</v>
      </c>
      <c r="M8" s="87">
        <v>0</v>
      </c>
      <c r="N8" s="87">
        <v>0</v>
      </c>
      <c r="O8" s="100" t="s">
        <v>53</v>
      </c>
      <c r="P8" s="88">
        <v>645000</v>
      </c>
      <c r="Q8" s="89">
        <f t="shared" si="0"/>
        <v>516000</v>
      </c>
      <c r="R8" s="90">
        <f t="shared" si="1"/>
        <v>129000</v>
      </c>
      <c r="S8" s="93">
        <v>0.8</v>
      </c>
      <c r="T8" s="90">
        <f t="shared" si="2"/>
        <v>516000</v>
      </c>
      <c r="U8" s="1"/>
      <c r="V8" s="34"/>
      <c r="W8" s="35"/>
      <c r="X8" s="35"/>
    </row>
    <row r="9" spans="1:24" ht="40.5" customHeight="1" x14ac:dyDescent="0.25">
      <c r="A9" s="91">
        <v>7</v>
      </c>
      <c r="B9" s="83">
        <v>8</v>
      </c>
      <c r="C9" s="92" t="s">
        <v>49</v>
      </c>
      <c r="D9" s="84" t="s">
        <v>88</v>
      </c>
      <c r="E9" s="83">
        <v>2009022</v>
      </c>
      <c r="F9" s="84" t="s">
        <v>59</v>
      </c>
      <c r="G9" s="85" t="s">
        <v>126</v>
      </c>
      <c r="H9" s="83" t="s">
        <v>52</v>
      </c>
      <c r="I9" s="86">
        <v>0.08</v>
      </c>
      <c r="J9" s="86">
        <v>0.3</v>
      </c>
      <c r="K9" s="86">
        <v>0</v>
      </c>
      <c r="L9" s="87">
        <v>1</v>
      </c>
      <c r="M9" s="87">
        <v>1</v>
      </c>
      <c r="N9" s="87">
        <v>0</v>
      </c>
      <c r="O9" s="83" t="s">
        <v>90</v>
      </c>
      <c r="P9" s="88">
        <v>391500</v>
      </c>
      <c r="Q9" s="89">
        <f t="shared" si="0"/>
        <v>313200</v>
      </c>
      <c r="R9" s="90">
        <f t="shared" si="1"/>
        <v>78300</v>
      </c>
      <c r="S9" s="102">
        <v>0.8</v>
      </c>
      <c r="T9" s="90">
        <f t="shared" si="2"/>
        <v>313200</v>
      </c>
      <c r="U9" s="1" t="b">
        <f t="shared" ref="U9:U16" si="3">Q9=SUM(T9:T9)</f>
        <v>1</v>
      </c>
      <c r="V9" s="34">
        <f t="shared" ref="V9:V16" si="4">ROUND(Q9/P9,4)</f>
        <v>0.8</v>
      </c>
      <c r="W9" s="35" t="b">
        <f t="shared" ref="W9:W15" si="5">V9=S9</f>
        <v>1</v>
      </c>
      <c r="X9" s="35" t="b">
        <f t="shared" ref="X9:X16" si="6">P9=Q9+R9</f>
        <v>1</v>
      </c>
    </row>
    <row r="10" spans="1:24" ht="40.5" customHeight="1" x14ac:dyDescent="0.25">
      <c r="A10" s="91">
        <v>8</v>
      </c>
      <c r="B10" s="83">
        <v>35</v>
      </c>
      <c r="C10" s="92" t="s">
        <v>49</v>
      </c>
      <c r="D10" s="84" t="s">
        <v>85</v>
      </c>
      <c r="E10" s="83">
        <v>2011014</v>
      </c>
      <c r="F10" s="84" t="s">
        <v>86</v>
      </c>
      <c r="G10" s="85" t="s">
        <v>120</v>
      </c>
      <c r="H10" s="83" t="s">
        <v>52</v>
      </c>
      <c r="I10" s="86">
        <v>0.08</v>
      </c>
      <c r="J10" s="86">
        <v>0</v>
      </c>
      <c r="K10" s="86">
        <v>0</v>
      </c>
      <c r="L10" s="87">
        <v>0</v>
      </c>
      <c r="M10" s="87">
        <v>0</v>
      </c>
      <c r="N10" s="87">
        <v>0</v>
      </c>
      <c r="O10" s="83" t="s">
        <v>53</v>
      </c>
      <c r="P10" s="88">
        <v>56000</v>
      </c>
      <c r="Q10" s="89">
        <f t="shared" si="0"/>
        <v>44800</v>
      </c>
      <c r="R10" s="90">
        <f t="shared" si="1"/>
        <v>11200</v>
      </c>
      <c r="S10" s="102">
        <v>0.8</v>
      </c>
      <c r="T10" s="90">
        <f t="shared" si="2"/>
        <v>44800</v>
      </c>
      <c r="U10" s="1" t="b">
        <f t="shared" si="3"/>
        <v>1</v>
      </c>
      <c r="V10" s="34">
        <f t="shared" si="4"/>
        <v>0.8</v>
      </c>
      <c r="W10" s="35" t="b">
        <f t="shared" si="5"/>
        <v>1</v>
      </c>
      <c r="X10" s="35" t="b">
        <f t="shared" si="6"/>
        <v>1</v>
      </c>
    </row>
    <row r="11" spans="1:24" ht="40.5" customHeight="1" x14ac:dyDescent="0.25">
      <c r="A11" s="91">
        <v>9</v>
      </c>
      <c r="B11" s="83">
        <v>36</v>
      </c>
      <c r="C11" s="92" t="s">
        <v>49</v>
      </c>
      <c r="D11" s="84" t="s">
        <v>85</v>
      </c>
      <c r="E11" s="83">
        <v>2011014</v>
      </c>
      <c r="F11" s="84" t="s">
        <v>86</v>
      </c>
      <c r="G11" s="85" t="s">
        <v>87</v>
      </c>
      <c r="H11" s="83" t="s">
        <v>52</v>
      </c>
      <c r="I11" s="86">
        <v>0.34</v>
      </c>
      <c r="J11" s="86">
        <v>0</v>
      </c>
      <c r="K11" s="86">
        <v>0</v>
      </c>
      <c r="L11" s="87">
        <v>0</v>
      </c>
      <c r="M11" s="87">
        <v>0</v>
      </c>
      <c r="N11" s="87">
        <v>0</v>
      </c>
      <c r="O11" s="83" t="s">
        <v>53</v>
      </c>
      <c r="P11" s="88">
        <v>221000</v>
      </c>
      <c r="Q11" s="89">
        <f t="shared" si="0"/>
        <v>176800</v>
      </c>
      <c r="R11" s="90">
        <f t="shared" si="1"/>
        <v>44200</v>
      </c>
      <c r="S11" s="93">
        <v>0.8</v>
      </c>
      <c r="T11" s="90">
        <f t="shared" si="2"/>
        <v>176800</v>
      </c>
      <c r="U11" s="1" t="b">
        <f t="shared" si="3"/>
        <v>1</v>
      </c>
      <c r="V11" s="34">
        <f t="shared" si="4"/>
        <v>0.8</v>
      </c>
      <c r="W11" s="35" t="b">
        <f t="shared" si="5"/>
        <v>1</v>
      </c>
      <c r="X11" s="35" t="b">
        <f t="shared" si="6"/>
        <v>1</v>
      </c>
    </row>
    <row r="12" spans="1:24" ht="40.5" customHeight="1" x14ac:dyDescent="0.25">
      <c r="A12" s="91">
        <v>10</v>
      </c>
      <c r="B12" s="83">
        <v>34</v>
      </c>
      <c r="C12" s="92" t="s">
        <v>49</v>
      </c>
      <c r="D12" s="84" t="s">
        <v>85</v>
      </c>
      <c r="E12" s="83">
        <v>2011014</v>
      </c>
      <c r="F12" s="84" t="s">
        <v>86</v>
      </c>
      <c r="G12" s="85" t="s">
        <v>95</v>
      </c>
      <c r="H12" s="83" t="s">
        <v>52</v>
      </c>
      <c r="I12" s="86">
        <v>9.8000000000000004E-2</v>
      </c>
      <c r="J12" s="86">
        <v>0</v>
      </c>
      <c r="K12" s="86">
        <v>0</v>
      </c>
      <c r="L12" s="87">
        <v>0</v>
      </c>
      <c r="M12" s="87">
        <v>0</v>
      </c>
      <c r="N12" s="87">
        <v>0</v>
      </c>
      <c r="O12" s="83" t="s">
        <v>53</v>
      </c>
      <c r="P12" s="88">
        <v>71000</v>
      </c>
      <c r="Q12" s="89">
        <f t="shared" si="0"/>
        <v>56800</v>
      </c>
      <c r="R12" s="90">
        <f t="shared" si="1"/>
        <v>14200</v>
      </c>
      <c r="S12" s="93">
        <v>0.8</v>
      </c>
      <c r="T12" s="90">
        <f t="shared" si="2"/>
        <v>56800</v>
      </c>
      <c r="U12" s="1" t="b">
        <f t="shared" si="3"/>
        <v>1</v>
      </c>
      <c r="V12" s="34">
        <f t="shared" si="4"/>
        <v>0.8</v>
      </c>
      <c r="W12" s="35" t="b">
        <f t="shared" si="5"/>
        <v>1</v>
      </c>
      <c r="X12" s="35" t="b">
        <f t="shared" si="6"/>
        <v>1</v>
      </c>
    </row>
    <row r="13" spans="1:24" ht="40.5" customHeight="1" x14ac:dyDescent="0.25">
      <c r="A13" s="91">
        <v>11</v>
      </c>
      <c r="B13" s="83">
        <v>2</v>
      </c>
      <c r="C13" s="92" t="s">
        <v>49</v>
      </c>
      <c r="D13" s="84" t="s">
        <v>48</v>
      </c>
      <c r="E13" s="83">
        <v>2001011</v>
      </c>
      <c r="F13" s="84" t="s">
        <v>50</v>
      </c>
      <c r="G13" s="85" t="s">
        <v>124</v>
      </c>
      <c r="H13" s="83" t="s">
        <v>61</v>
      </c>
      <c r="I13" s="86">
        <v>0.56399999999999995</v>
      </c>
      <c r="J13" s="86">
        <v>0</v>
      </c>
      <c r="K13" s="86">
        <v>0</v>
      </c>
      <c r="L13" s="87">
        <v>0</v>
      </c>
      <c r="M13" s="87">
        <v>0</v>
      </c>
      <c r="N13" s="87">
        <v>0</v>
      </c>
      <c r="O13" s="83" t="s">
        <v>53</v>
      </c>
      <c r="P13" s="88">
        <v>482000</v>
      </c>
      <c r="Q13" s="89">
        <f t="shared" si="0"/>
        <v>385600</v>
      </c>
      <c r="R13" s="90">
        <f t="shared" si="1"/>
        <v>96400</v>
      </c>
      <c r="S13" s="102">
        <v>0.8</v>
      </c>
      <c r="T13" s="90">
        <f t="shared" si="2"/>
        <v>385600</v>
      </c>
      <c r="U13" s="1" t="b">
        <f t="shared" si="3"/>
        <v>1</v>
      </c>
      <c r="V13" s="34">
        <f t="shared" si="4"/>
        <v>0.8</v>
      </c>
      <c r="W13" s="35" t="b">
        <f t="shared" si="5"/>
        <v>1</v>
      </c>
      <c r="X13" s="35" t="b">
        <f t="shared" si="6"/>
        <v>1</v>
      </c>
    </row>
    <row r="14" spans="1:24" ht="40.5" customHeight="1" x14ac:dyDescent="0.25">
      <c r="A14" s="91">
        <v>12</v>
      </c>
      <c r="B14" s="83">
        <v>10</v>
      </c>
      <c r="C14" s="92" t="s">
        <v>49</v>
      </c>
      <c r="D14" s="84" t="s">
        <v>88</v>
      </c>
      <c r="E14" s="83">
        <v>2009022</v>
      </c>
      <c r="F14" s="84" t="s">
        <v>59</v>
      </c>
      <c r="G14" s="85" t="s">
        <v>127</v>
      </c>
      <c r="H14" s="83" t="s">
        <v>52</v>
      </c>
      <c r="I14" s="86">
        <v>0.12</v>
      </c>
      <c r="J14" s="86">
        <v>0.3</v>
      </c>
      <c r="K14" s="86">
        <v>0</v>
      </c>
      <c r="L14" s="87">
        <v>1</v>
      </c>
      <c r="M14" s="87">
        <v>1</v>
      </c>
      <c r="N14" s="87">
        <v>0</v>
      </c>
      <c r="O14" s="83" t="s">
        <v>90</v>
      </c>
      <c r="P14" s="88">
        <v>451500</v>
      </c>
      <c r="Q14" s="89">
        <f t="shared" si="0"/>
        <v>361200</v>
      </c>
      <c r="R14" s="90">
        <f t="shared" si="1"/>
        <v>90300</v>
      </c>
      <c r="S14" s="102">
        <v>0.8</v>
      </c>
      <c r="T14" s="90">
        <f t="shared" si="2"/>
        <v>361200</v>
      </c>
      <c r="U14" s="1" t="b">
        <f t="shared" si="3"/>
        <v>1</v>
      </c>
      <c r="V14" s="34">
        <f t="shared" si="4"/>
        <v>0.8</v>
      </c>
      <c r="W14" s="35" t="b">
        <f t="shared" si="5"/>
        <v>1</v>
      </c>
      <c r="X14" s="35" t="b">
        <f t="shared" si="6"/>
        <v>1</v>
      </c>
    </row>
    <row r="15" spans="1:24" ht="40.5" customHeight="1" x14ac:dyDescent="0.25">
      <c r="A15" s="91" t="s">
        <v>144</v>
      </c>
      <c r="B15" s="83">
        <v>11</v>
      </c>
      <c r="C15" s="92" t="s">
        <v>49</v>
      </c>
      <c r="D15" s="84" t="s">
        <v>88</v>
      </c>
      <c r="E15" s="83">
        <v>2009022</v>
      </c>
      <c r="F15" s="84" t="s">
        <v>59</v>
      </c>
      <c r="G15" s="85" t="s">
        <v>128</v>
      </c>
      <c r="H15" s="83" t="s">
        <v>52</v>
      </c>
      <c r="I15" s="86">
        <v>0.2</v>
      </c>
      <c r="J15" s="86">
        <v>0</v>
      </c>
      <c r="K15" s="86">
        <v>0</v>
      </c>
      <c r="L15" s="87">
        <v>1</v>
      </c>
      <c r="M15" s="87">
        <v>0</v>
      </c>
      <c r="N15" s="87">
        <v>0</v>
      </c>
      <c r="O15" s="83" t="s">
        <v>90</v>
      </c>
      <c r="P15" s="88">
        <v>191500</v>
      </c>
      <c r="Q15" s="89">
        <f>ROUNDDOWN(P15*S15,2)-127197.13</f>
        <v>26002.869999999995</v>
      </c>
      <c r="R15" s="90">
        <f t="shared" si="1"/>
        <v>165497.13</v>
      </c>
      <c r="S15" s="102">
        <v>0.8</v>
      </c>
      <c r="T15" s="90">
        <f t="shared" si="2"/>
        <v>26002.869999999995</v>
      </c>
      <c r="U15" s="1" t="b">
        <f t="shared" si="3"/>
        <v>1</v>
      </c>
      <c r="V15" s="34">
        <f t="shared" si="4"/>
        <v>0.1358</v>
      </c>
      <c r="W15" s="35" t="b">
        <f t="shared" si="5"/>
        <v>0</v>
      </c>
      <c r="X15" s="35" t="b">
        <f t="shared" si="6"/>
        <v>1</v>
      </c>
    </row>
    <row r="16" spans="1:24" ht="20.100000000000001" customHeight="1" x14ac:dyDescent="0.25">
      <c r="A16" s="126" t="s">
        <v>34</v>
      </c>
      <c r="B16" s="126"/>
      <c r="C16" s="126"/>
      <c r="D16" s="126"/>
      <c r="E16" s="126"/>
      <c r="F16" s="126"/>
      <c r="G16" s="126"/>
      <c r="H16" s="126"/>
      <c r="I16" s="36">
        <f t="shared" ref="I16:N16" si="7">SUM(I3:I15)</f>
        <v>2.9580000000000002</v>
      </c>
      <c r="J16" s="36">
        <f t="shared" si="7"/>
        <v>0.6</v>
      </c>
      <c r="K16" s="36">
        <f t="shared" si="7"/>
        <v>0.42099999999999999</v>
      </c>
      <c r="L16" s="82">
        <f t="shared" si="7"/>
        <v>19</v>
      </c>
      <c r="M16" s="82">
        <f t="shared" si="7"/>
        <v>2</v>
      </c>
      <c r="N16" s="82">
        <f t="shared" si="7"/>
        <v>0</v>
      </c>
      <c r="O16" s="37" t="s">
        <v>11</v>
      </c>
      <c r="P16" s="38">
        <f>SUM(P3:P15)</f>
        <v>7070942.3200000003</v>
      </c>
      <c r="Q16" s="38">
        <f>SUM(Q3:Q15)</f>
        <v>5529556.7199999997</v>
      </c>
      <c r="R16" s="38">
        <f>SUM(R3:R15)</f>
        <v>1541385.6</v>
      </c>
      <c r="S16" s="40" t="s">
        <v>11</v>
      </c>
      <c r="T16" s="39">
        <f>SUM(T3:T15)</f>
        <v>5529556.7199999997</v>
      </c>
      <c r="U16" s="1" t="b">
        <f t="shared" si="3"/>
        <v>1</v>
      </c>
      <c r="V16" s="34">
        <f t="shared" si="4"/>
        <v>0.78200000000000003</v>
      </c>
      <c r="W16" s="35" t="s">
        <v>11</v>
      </c>
      <c r="X16" s="35" t="b">
        <f t="shared" si="6"/>
        <v>1</v>
      </c>
    </row>
    <row r="17" spans="1:24" ht="20.100000000000001" customHeight="1" x14ac:dyDescent="0.25">
      <c r="A17" s="29"/>
      <c r="B17" s="29"/>
      <c r="C17" s="29"/>
      <c r="D17" s="29"/>
      <c r="E17" s="29"/>
      <c r="F17" s="29"/>
      <c r="G17" s="29"/>
      <c r="H17" s="29"/>
      <c r="I17" s="121">
        <f>I16+J16+K16</f>
        <v>3.9790000000000001</v>
      </c>
      <c r="J17" s="121"/>
      <c r="K17" s="121"/>
      <c r="L17" s="122">
        <f>L16+M16+N16</f>
        <v>21</v>
      </c>
      <c r="M17" s="122"/>
      <c r="N17" s="122"/>
    </row>
    <row r="18" spans="1:24" ht="20.100000000000001" customHeight="1" x14ac:dyDescent="0.25">
      <c r="A18" s="28" t="s">
        <v>45</v>
      </c>
      <c r="B18" s="28"/>
      <c r="C18" s="28"/>
      <c r="D18" s="28"/>
      <c r="E18" s="28"/>
      <c r="F18" s="28"/>
      <c r="G18" s="28"/>
      <c r="H18" s="28"/>
      <c r="I18" s="11"/>
      <c r="J18" s="11"/>
      <c r="K18" s="11"/>
      <c r="L18" s="11"/>
      <c r="M18" s="11"/>
      <c r="N18" s="11"/>
      <c r="O18" s="11"/>
      <c r="P18" s="5"/>
      <c r="Q18" s="11"/>
      <c r="R18" s="11"/>
      <c r="T18" s="11"/>
      <c r="U18" s="1"/>
      <c r="X18" s="35"/>
    </row>
    <row r="19" spans="1:24" ht="28.5" customHeight="1" x14ac:dyDescent="0.25">
      <c r="A19" s="119" t="s">
        <v>33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"/>
    </row>
    <row r="20" spans="1:24" x14ac:dyDescent="0.25">
      <c r="B20" s="30"/>
      <c r="C20" s="30"/>
      <c r="D20" s="30"/>
      <c r="E20" s="30"/>
      <c r="F20" s="30"/>
      <c r="G20" s="30"/>
      <c r="H20" s="30"/>
      <c r="P20" s="25"/>
    </row>
    <row r="21" spans="1:24" x14ac:dyDescent="0.25">
      <c r="J21" s="35" t="b">
        <f>I16+J16+K16=I17</f>
        <v>1</v>
      </c>
      <c r="M21" s="35" t="b">
        <f>L16+M16+N16=L17</f>
        <v>1</v>
      </c>
    </row>
  </sheetData>
  <mergeCells count="19">
    <mergeCell ref="A19:T19"/>
    <mergeCell ref="Q1:Q2"/>
    <mergeCell ref="R1:R2"/>
    <mergeCell ref="S1:S2"/>
    <mergeCell ref="A16:H16"/>
    <mergeCell ref="I17:K17"/>
    <mergeCell ref="L17:N17"/>
    <mergeCell ref="G1:G2"/>
    <mergeCell ref="H1:H2"/>
    <mergeCell ref="I1:K1"/>
    <mergeCell ref="L1:N1"/>
    <mergeCell ref="O1:O2"/>
    <mergeCell ref="P1:P2"/>
    <mergeCell ref="A1:A2"/>
    <mergeCell ref="B1:B2"/>
    <mergeCell ref="C1:C2"/>
    <mergeCell ref="D1:D2"/>
    <mergeCell ref="E1:E2"/>
    <mergeCell ref="F1:F2"/>
  </mergeCells>
  <conditionalFormatting sqref="U3:X7 U9:X10 U13:X16">
    <cfRule type="cellIs" dxfId="13" priority="15" operator="equal">
      <formula>FALSE</formula>
    </cfRule>
  </conditionalFormatting>
  <conditionalFormatting sqref="U3:W7 U9:W10 U13:W16">
    <cfRule type="containsText" dxfId="12" priority="13" operator="containsText" text="fałsz">
      <formula>NOT(ISERROR(SEARCH("fałsz",U3)))</formula>
    </cfRule>
  </conditionalFormatting>
  <conditionalFormatting sqref="X18">
    <cfRule type="cellIs" dxfId="11" priority="12" operator="equal">
      <formula>FALSE</formula>
    </cfRule>
  </conditionalFormatting>
  <conditionalFormatting sqref="X18">
    <cfRule type="cellIs" dxfId="10" priority="11" operator="equal">
      <formula>FALSE</formula>
    </cfRule>
  </conditionalFormatting>
  <conditionalFormatting sqref="J21">
    <cfRule type="cellIs" dxfId="9" priority="10" operator="equal">
      <formula>FALSE</formula>
    </cfRule>
  </conditionalFormatting>
  <conditionalFormatting sqref="J21">
    <cfRule type="cellIs" dxfId="8" priority="9" operator="equal">
      <formula>FALSE</formula>
    </cfRule>
  </conditionalFormatting>
  <conditionalFormatting sqref="M21">
    <cfRule type="cellIs" dxfId="7" priority="8" operator="equal">
      <formula>FALSE</formula>
    </cfRule>
  </conditionalFormatting>
  <conditionalFormatting sqref="M21">
    <cfRule type="cellIs" dxfId="6" priority="7" operator="equal">
      <formula>FALSE</formula>
    </cfRule>
  </conditionalFormatting>
  <conditionalFormatting sqref="U11:X11">
    <cfRule type="cellIs" dxfId="5" priority="6" operator="equal">
      <formula>FALSE</formula>
    </cfRule>
  </conditionalFormatting>
  <conditionalFormatting sqref="U11:W11">
    <cfRule type="containsText" dxfId="4" priority="5" operator="containsText" text="fałsz">
      <formula>NOT(ISERROR(SEARCH("fałsz",U11)))</formula>
    </cfRule>
  </conditionalFormatting>
  <conditionalFormatting sqref="U12:X12">
    <cfRule type="cellIs" dxfId="3" priority="4" operator="equal">
      <formula>FALSE</formula>
    </cfRule>
  </conditionalFormatting>
  <conditionalFormatting sqref="U8:X8">
    <cfRule type="cellIs" dxfId="2" priority="2" operator="equal">
      <formula>FALSE</formula>
    </cfRule>
  </conditionalFormatting>
  <conditionalFormatting sqref="U8:W8">
    <cfRule type="containsText" dxfId="1" priority="1" operator="containsText" text="fałsz">
      <formula>NOT(ISERROR(SEARCH("fałsz",U8)))</formula>
    </cfRule>
  </conditionalFormatting>
  <dataValidations count="1">
    <dataValidation type="list" allowBlank="1" showInputMessage="1" showErrorMessage="1" sqref="C3:C15" xr:uid="{00000000-0002-0000-0400-000000000000}">
      <formula1>"N"</formula1>
    </dataValidation>
  </dataValidations>
  <pageMargins left="0.23622047244094491" right="0.23622047244094491" top="0.74803149606299213" bottom="0.74803149606299213" header="0.31496062992125984" footer="0.31496062992125984"/>
  <pageSetup paperSize="8" scale="57" fitToHeight="0" orientation="landscape" r:id="rId1"/>
  <headerFooter>
    <oddHeader>&amp;LWojewództwo Podlaskie - zadania gminne lista rezerwowa</oddHeader>
    <oddFooter>Strona &amp;P z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3" operator="containsText" text="fałsz" id="{149C91B3-EFF5-44A1-BBB2-AAA364496FFE}">
            <xm:f>NOT(ISERROR(SEARCH("fałsz",'gm podst'!U10)))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U12:W12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Reda Marzena</cp:lastModifiedBy>
  <cp:lastPrinted>2023-06-15T09:38:42Z</cp:lastPrinted>
  <dcterms:created xsi:type="dcterms:W3CDTF">2019-02-25T10:53:14Z</dcterms:created>
  <dcterms:modified xsi:type="dcterms:W3CDTF">2023-10-27T12:14:35Z</dcterms:modified>
</cp:coreProperties>
</file>