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581000E2-7358-458D-80BD-F757501B5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8" i="4" l="1"/>
  <c r="C117" i="4"/>
  <c r="C116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K76" i="4" s="1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I53" i="4" s="1"/>
  <c r="I59" i="4" s="1"/>
  <c r="H51" i="4"/>
  <c r="G51" i="4"/>
  <c r="F51" i="4"/>
  <c r="E51" i="4"/>
  <c r="D51" i="4"/>
  <c r="C51" i="4"/>
  <c r="C53" i="4" s="1"/>
  <c r="I50" i="4"/>
  <c r="H50" i="4"/>
  <c r="G50" i="4"/>
  <c r="F50" i="4"/>
  <c r="E50" i="4"/>
  <c r="D50" i="4"/>
  <c r="C50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K27" i="4" s="1"/>
  <c r="D26" i="4"/>
  <c r="J26" i="4" s="1"/>
  <c r="C26" i="4"/>
  <c r="K26" i="4" s="1"/>
  <c r="D25" i="4"/>
  <c r="J25" i="4" s="1"/>
  <c r="C25" i="4"/>
  <c r="K25" i="4" s="1"/>
  <c r="D24" i="4"/>
  <c r="C24" i="4"/>
  <c r="D23" i="4"/>
  <c r="C23" i="4"/>
  <c r="K23" i="4" s="1"/>
  <c r="D22" i="4"/>
  <c r="J22" i="4" s="1"/>
  <c r="C22" i="4"/>
  <c r="D21" i="4"/>
  <c r="J21" i="4" s="1"/>
  <c r="C21" i="4"/>
  <c r="D20" i="4"/>
  <c r="J20" i="4" s="1"/>
  <c r="C20" i="4"/>
  <c r="D19" i="4"/>
  <c r="C19" i="4"/>
  <c r="K19" i="4" s="1"/>
  <c r="D18" i="4"/>
  <c r="J18" i="4" s="1"/>
  <c r="C18" i="4"/>
  <c r="D17" i="4"/>
  <c r="C17" i="4"/>
  <c r="K17" i="4" s="1"/>
  <c r="D16" i="4"/>
  <c r="J16" i="4" s="1"/>
  <c r="C16" i="4"/>
  <c r="K16" i="4" s="1"/>
  <c r="D15" i="4"/>
  <c r="K15" i="4" s="1"/>
  <c r="C15" i="4"/>
  <c r="D14" i="4"/>
  <c r="J14" i="4" s="1"/>
  <c r="C14" i="4"/>
  <c r="D13" i="4"/>
  <c r="C13" i="4"/>
  <c r="D9" i="4"/>
  <c r="C9" i="4"/>
  <c r="D8" i="4"/>
  <c r="C8" i="4"/>
  <c r="D7" i="4"/>
  <c r="C7" i="4"/>
  <c r="D5" i="4"/>
  <c r="C5" i="4"/>
  <c r="F78" i="4"/>
  <c r="G78" i="4"/>
  <c r="K89" i="4"/>
  <c r="K90" i="4"/>
  <c r="K33" i="4"/>
  <c r="K98" i="4"/>
  <c r="E53" i="4"/>
  <c r="E59" i="4"/>
  <c r="F53" i="4"/>
  <c r="F59" i="4"/>
  <c r="K34" i="4"/>
  <c r="H78" i="4"/>
  <c r="I78" i="4"/>
  <c r="K35" i="4"/>
  <c r="K77" i="4"/>
  <c r="K7" i="4"/>
  <c r="K28" i="4"/>
  <c r="K55" i="4"/>
  <c r="K84" i="4"/>
  <c r="K38" i="4"/>
  <c r="K58" i="4"/>
  <c r="K95" i="4"/>
  <c r="K8" i="4"/>
  <c r="K29" i="4"/>
  <c r="K40" i="4"/>
  <c r="K52" i="4"/>
  <c r="K85" i="4"/>
  <c r="K96" i="4"/>
  <c r="D115" i="4"/>
  <c r="K56" i="4"/>
  <c r="K24" i="4"/>
  <c r="G53" i="4"/>
  <c r="G59" i="4"/>
  <c r="K91" i="4"/>
  <c r="C60" i="4"/>
  <c r="C39" i="4"/>
  <c r="C41" i="4" s="1"/>
  <c r="K5" i="4"/>
  <c r="J33" i="4"/>
  <c r="J24" i="4"/>
  <c r="J31" i="4"/>
  <c r="J19" i="4"/>
  <c r="J32" i="4"/>
  <c r="J23" i="4"/>
  <c r="J38" i="4"/>
  <c r="J27" i="4"/>
  <c r="J7" i="4"/>
  <c r="D39" i="4"/>
  <c r="J39" i="4" s="1"/>
  <c r="D41" i="4"/>
  <c r="D60" i="4"/>
  <c r="J34" i="4"/>
  <c r="J29" i="4"/>
  <c r="J9" i="4"/>
  <c r="J35" i="4"/>
  <c r="J37" i="4"/>
  <c r="J36" i="4"/>
  <c r="J30" i="4"/>
  <c r="J8" i="4"/>
  <c r="J17" i="4"/>
  <c r="J5" i="4"/>
  <c r="J28" i="4"/>
  <c r="K92" i="4"/>
  <c r="K36" i="4"/>
  <c r="J84" i="4"/>
  <c r="J87" i="4"/>
  <c r="J91" i="4"/>
  <c r="J89" i="4"/>
  <c r="J86" i="4"/>
  <c r="J92" i="4"/>
  <c r="J90" i="4"/>
  <c r="J85" i="4"/>
  <c r="J94" i="4"/>
  <c r="J93" i="4"/>
  <c r="J88" i="4"/>
  <c r="K9" i="4"/>
  <c r="K30" i="4"/>
  <c r="K50" i="4"/>
  <c r="K86" i="4"/>
  <c r="K97" i="4"/>
  <c r="K32" i="4"/>
  <c r="J55" i="4"/>
  <c r="J58" i="4"/>
  <c r="J54" i="4"/>
  <c r="J57" i="4"/>
  <c r="J50" i="4"/>
  <c r="J51" i="4"/>
  <c r="J52" i="4"/>
  <c r="J56" i="4"/>
  <c r="D53" i="4"/>
  <c r="D59" i="4" s="1"/>
  <c r="J59" i="4" s="1"/>
  <c r="E78" i="4"/>
  <c r="K87" i="4"/>
  <c r="K93" i="4"/>
  <c r="K99" i="4"/>
  <c r="H53" i="4"/>
  <c r="H59" i="4" s="1"/>
  <c r="K31" i="4"/>
  <c r="K37" i="4"/>
  <c r="K57" i="4"/>
  <c r="K88" i="4"/>
  <c r="K94" i="4"/>
  <c r="K100" i="4"/>
  <c r="K51" i="4"/>
  <c r="K54" i="4"/>
  <c r="J77" i="4"/>
  <c r="J76" i="4"/>
  <c r="D78" i="4"/>
  <c r="J78" i="4"/>
  <c r="J95" i="4"/>
  <c r="J99" i="4"/>
  <c r="J98" i="4"/>
  <c r="J96" i="4"/>
  <c r="J97" i="4"/>
  <c r="J100" i="4"/>
  <c r="B79" i="4"/>
  <c r="B43" i="4"/>
  <c r="B1" i="4"/>
  <c r="D61" i="4" l="1"/>
  <c r="J53" i="4"/>
  <c r="C78" i="4"/>
  <c r="K78" i="4" s="1"/>
  <c r="C59" i="4"/>
  <c r="K59" i="4" s="1"/>
  <c r="C61" i="4"/>
  <c r="K53" i="4"/>
  <c r="C12" i="4"/>
  <c r="C11" i="4" s="1"/>
  <c r="C6" i="4" s="1"/>
  <c r="C10" i="4" s="1"/>
  <c r="K22" i="4"/>
  <c r="K21" i="4"/>
  <c r="K20" i="4"/>
  <c r="K18" i="4"/>
  <c r="J15" i="4"/>
  <c r="D12" i="4"/>
  <c r="K14" i="4"/>
  <c r="K12" i="4"/>
  <c r="D11" i="4"/>
  <c r="J12" i="4"/>
  <c r="J13" i="4"/>
  <c r="K13" i="4"/>
  <c r="J41" i="4"/>
  <c r="J40" i="4"/>
  <c r="K41" i="4"/>
  <c r="K39" i="4"/>
  <c r="J11" i="4" l="1"/>
  <c r="D6" i="4"/>
  <c r="K11" i="4"/>
  <c r="L7" i="4" l="1"/>
  <c r="L9" i="4"/>
  <c r="D10" i="4"/>
  <c r="L8" i="4"/>
  <c r="J6" i="4"/>
  <c r="L6" i="4"/>
  <c r="K6" i="4"/>
  <c r="L10" i="4" l="1"/>
  <c r="K10" i="4"/>
  <c r="J10" i="4"/>
</calcChain>
</file>

<file path=xl/sharedStrings.xml><?xml version="1.0" encoding="utf-8"?>
<sst xmlns="http://schemas.openxmlformats.org/spreadsheetml/2006/main" count="416" uniqueCount="112">
  <si>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</si>
  <si>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</si>
  <si>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</si>
  <si>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</si>
  <si>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</si>
  <si>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</si>
  <si>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</si>
  <si>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</si>
  <si>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</si>
  <si>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</si>
  <si>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</si>
  <si>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</si>
  <si>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</si>
  <si>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</si>
  <si>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</si>
  <si>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</si>
  <si>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</si>
  <si>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</si>
  <si>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</si>
  <si>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</si>
  <si>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</si>
  <si>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</si>
  <si>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</si>
  <si>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</si>
  <si>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</si>
  <si>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</si>
  <si>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</si>
  <si>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</si>
  <si>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</si>
  <si>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</si>
  <si>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</si>
  <si>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</si>
  <si>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</si>
  <si>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</si>
  <si>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</si>
  <si>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</si>
  <si>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</si>
  <si>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</si>
  <si>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</si>
  <si>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</si>
  <si>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</si>
  <si>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</si>
  <si>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</si>
  <si>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</si>
  <si>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</si>
  <si>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</si>
  <si>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</si>
  <si>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</si>
  <si>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</si>
  <si>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</si>
  <si>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</si>
  <si>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</si>
  <si>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</si>
  <si>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</si>
  <si>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</si>
  <si>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</si>
  <si>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</si>
  <si>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</si>
  <si>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</si>
  <si>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</si>
  <si>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</si>
  <si>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</si>
  <si>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</si>
  <si>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</si>
  <si>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</si>
  <si>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</si>
  <si>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</si>
  <si>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</si>
  <si>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</si>
  <si>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</si>
  <si>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</si>
  <si>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</si>
  <si>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</si>
  <si>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</si>
  <si>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</si>
  <si>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</si>
  <si>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</si>
  <si>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</si>
  <si>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</si>
  <si>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</si>
  <si>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</si>
  <si>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</si>
  <si>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</si>
  <si>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</si>
  <si>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</si>
  <si>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</si>
  <si>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</si>
  <si>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</si>
  <si>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</si>
  <si>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</si>
  <si>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</si>
  <si>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</si>
  <si>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</si>
  <si>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</si>
  <si>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</si>
  <si>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</si>
  <si>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</si>
  <si>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</si>
  <si>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</si>
  <si>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</si>
  <si>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</si>
  <si>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</si>
  <si>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</si>
  <si>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</si>
  <si>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</si>
  <si>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</si>
  <si>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</si>
  <si>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</si>
  <si>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</si>
  <si>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</si>
  <si>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Dochody bieżące 
minus  wydatki bieżące (Db-Wb)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</si>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</sst>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5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5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10" xfId="44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7" fillId="22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9" width="13" style="1" customWidth="1" outlineLevel="1"/>
    <col min="10" max="10" width="7.7109375" style="1" bestFit="1" customWidth="1"/>
    <col min="11" max="11" width="7.5703125" style="1" bestFit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99" t="str">
        <f>CONCATENATE("Informacja z wykonania budżetów województw za ",$D$115," ",$C$116," rok    ",$C$118,"")</f>
        <v xml:space="preserve">Informacja z wykonania budżetów województw za I Kwartał 2026 rok    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17" ht="60" customHeight="1" x14ac:dyDescent="0.2">
      <c r="B2" s="156" t="s">
        <v>0</v>
      </c>
      <c r="C2" s="13" t="s">
        <v>24</v>
      </c>
      <c r="D2" s="13" t="s">
        <v>25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56"/>
      <c r="C3" s="126" t="s">
        <v>53</v>
      </c>
      <c r="D3" s="128"/>
      <c r="E3" s="157" t="s">
        <v>78</v>
      </c>
      <c r="F3" s="158"/>
      <c r="G3" s="158"/>
      <c r="H3" s="158"/>
      <c r="I3" s="159"/>
      <c r="J3" s="126" t="s">
        <v>4</v>
      </c>
      <c r="K3" s="127"/>
      <c r="L3" s="128"/>
    </row>
    <row r="4" spans="2:17" ht="9" customHeight="1" x14ac:dyDescent="0.2">
      <c r="B4" s="14">
        <v>1</v>
      </c>
      <c r="C4" s="16">
        <v>2</v>
      </c>
      <c r="D4" s="16">
        <v>3</v>
      </c>
      <c r="E4" s="160"/>
      <c r="F4" s="161"/>
      <c r="G4" s="161"/>
      <c r="H4" s="161"/>
      <c r="I4" s="162"/>
      <c r="J4" s="16">
        <v>4</v>
      </c>
      <c r="K4" s="16">
        <v>5</v>
      </c>
      <c r="L4" s="16">
        <v>6</v>
      </c>
    </row>
    <row r="5" spans="2:17" ht="12.95" customHeight="1" x14ac:dyDescent="0.2">
      <c r="B5" s="97" t="s">
        <v>5</v>
      </c>
      <c r="C5" s="55">
        <f>40726113259.87</f>
        <v>40726113259.870003</v>
      </c>
      <c r="D5" s="55">
        <f>10000097802.97</f>
        <v>10000097802.969999</v>
      </c>
      <c r="E5" s="94" t="s">
        <v>78</v>
      </c>
      <c r="F5" s="94" t="s">
        <v>78</v>
      </c>
      <c r="G5" s="94" t="s">
        <v>78</v>
      </c>
      <c r="H5" s="94" t="s">
        <v>78</v>
      </c>
      <c r="I5" s="94" t="s">
        <v>78</v>
      </c>
      <c r="J5" s="56">
        <f t="shared" ref="J5:J38" si="0">IF($D$5=0,"",100*$D5/$D$5)</f>
        <v>100</v>
      </c>
      <c r="K5" s="56">
        <f t="shared" ref="K5:K41" si="1">IF(C5=0,"",100*D5/C5)</f>
        <v>24.554510613768102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35</v>
      </c>
      <c r="C6" s="22">
        <f>C5-C11-C35</f>
        <v>23745241064.380005</v>
      </c>
      <c r="D6" s="22">
        <f>D5-D11-D35</f>
        <v>6626347390.9899998</v>
      </c>
      <c r="E6" s="94" t="s">
        <v>78</v>
      </c>
      <c r="F6" s="94" t="s">
        <v>78</v>
      </c>
      <c r="G6" s="94" t="s">
        <v>78</v>
      </c>
      <c r="H6" s="94" t="s">
        <v>78</v>
      </c>
      <c r="I6" s="94" t="s">
        <v>78</v>
      </c>
      <c r="J6" s="29">
        <f t="shared" si="0"/>
        <v>66.262825839783233</v>
      </c>
      <c r="K6" s="29">
        <f t="shared" si="1"/>
        <v>27.906001766939802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96</v>
      </c>
      <c r="C7" s="20">
        <f>7397829174</f>
        <v>7397829174</v>
      </c>
      <c r="D7" s="20">
        <f>2845318875</f>
        <v>2845318875</v>
      </c>
      <c r="E7" s="109" t="s">
        <v>78</v>
      </c>
      <c r="F7" s="109" t="s">
        <v>78</v>
      </c>
      <c r="G7" s="109" t="s">
        <v>78</v>
      </c>
      <c r="H7" s="109" t="s">
        <v>78</v>
      </c>
      <c r="I7" s="109" t="s">
        <v>78</v>
      </c>
      <c r="J7" s="30">
        <f t="shared" si="0"/>
        <v>28.452910472085069</v>
      </c>
      <c r="K7" s="30">
        <f t="shared" si="1"/>
        <v>38.461537946834454</v>
      </c>
      <c r="L7" s="30">
        <f>IF($D$6=0,"",100*$D7/$D$6)</f>
        <v>42.939476413036346</v>
      </c>
      <c r="M7" s="34"/>
      <c r="N7" s="34"/>
      <c r="O7" s="34"/>
      <c r="P7" s="34"/>
      <c r="Q7" s="34"/>
    </row>
    <row r="8" spans="2:17" ht="22.5" outlineLevel="1" x14ac:dyDescent="0.2">
      <c r="B8" s="60" t="s">
        <v>97</v>
      </c>
      <c r="C8" s="21">
        <f>12538286371</f>
        <v>12538286371</v>
      </c>
      <c r="D8" s="21">
        <f>3134571570</f>
        <v>3134571570</v>
      </c>
      <c r="E8" s="109" t="s">
        <v>78</v>
      </c>
      <c r="F8" s="109" t="s">
        <v>78</v>
      </c>
      <c r="G8" s="109" t="s">
        <v>78</v>
      </c>
      <c r="H8" s="109" t="s">
        <v>78</v>
      </c>
      <c r="I8" s="109" t="s">
        <v>78</v>
      </c>
      <c r="J8" s="30">
        <f t="shared" si="0"/>
        <v>31.345409132589101</v>
      </c>
      <c r="K8" s="30">
        <f t="shared" si="1"/>
        <v>24.999999818555747</v>
      </c>
      <c r="L8" s="30">
        <f>IF($D$6=0,"",100*$D8/$D$6)</f>
        <v>47.304667036656582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19</v>
      </c>
      <c r="C9" s="21">
        <f>295402514</f>
        <v>295402514</v>
      </c>
      <c r="D9" s="57">
        <f>66069249.38</f>
        <v>66069249.380000003</v>
      </c>
      <c r="E9" s="109" t="s">
        <v>78</v>
      </c>
      <c r="F9" s="109" t="s">
        <v>78</v>
      </c>
      <c r="G9" s="109" t="s">
        <v>78</v>
      </c>
      <c r="H9" s="109" t="s">
        <v>78</v>
      </c>
      <c r="I9" s="109" t="s">
        <v>78</v>
      </c>
      <c r="J9" s="30">
        <f t="shared" si="0"/>
        <v>0.66068603209438237</v>
      </c>
      <c r="K9" s="30">
        <f t="shared" si="1"/>
        <v>22.365838558841784</v>
      </c>
      <c r="L9" s="30">
        <f>IF($D$6=0,"",100*$D9/$D$6)</f>
        <v>0.99706890510805257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20</v>
      </c>
      <c r="C10" s="21">
        <f>C6-C7-C8-C9</f>
        <v>3513723005.3800049</v>
      </c>
      <c r="D10" s="21">
        <f>D6-D7-D8-D9</f>
        <v>580387696.60999978</v>
      </c>
      <c r="E10" s="109" t="s">
        <v>78</v>
      </c>
      <c r="F10" s="109" t="s">
        <v>78</v>
      </c>
      <c r="G10" s="109" t="s">
        <v>78</v>
      </c>
      <c r="H10" s="109" t="s">
        <v>78</v>
      </c>
      <c r="I10" s="109" t="s">
        <v>78</v>
      </c>
      <c r="J10" s="30">
        <f t="shared" si="0"/>
        <v>5.8038202030146779</v>
      </c>
      <c r="K10" s="30">
        <f t="shared" si="1"/>
        <v>16.517741885781675</v>
      </c>
      <c r="L10" s="30">
        <f>IF($D$6=0,"",100*$D10/$D$6)</f>
        <v>8.7587876451990212</v>
      </c>
      <c r="M10" s="34"/>
      <c r="N10" s="34"/>
      <c r="O10" s="34"/>
      <c r="P10" s="34"/>
      <c r="Q10" s="34"/>
    </row>
    <row r="11" spans="2:17" ht="27" customHeight="1" x14ac:dyDescent="0.2">
      <c r="B11" s="96" t="s">
        <v>79</v>
      </c>
      <c r="C11" s="55">
        <f>C12+C31+C33</f>
        <v>12643187865.49</v>
      </c>
      <c r="D11" s="55">
        <f>D12+D31+D33</f>
        <v>2289329329.4699998</v>
      </c>
      <c r="E11" s="94" t="s">
        <v>78</v>
      </c>
      <c r="F11" s="94" t="s">
        <v>78</v>
      </c>
      <c r="G11" s="94" t="s">
        <v>78</v>
      </c>
      <c r="H11" s="94" t="s">
        <v>78</v>
      </c>
      <c r="I11" s="94" t="s">
        <v>78</v>
      </c>
      <c r="J11" s="56">
        <f t="shared" si="0"/>
        <v>22.893069393682087</v>
      </c>
      <c r="K11" s="56">
        <f t="shared" si="1"/>
        <v>18.107215947639283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1" t="s">
        <v>36</v>
      </c>
      <c r="C12" s="55">
        <f>C13+C15+C17+C19+C21+C23+C25+C27+C29</f>
        <v>3570501539.4599996</v>
      </c>
      <c r="D12" s="55">
        <f>D13+D15+D17+D19+D21+D23+D25+D27+D29</f>
        <v>823958508.03999984</v>
      </c>
      <c r="E12" s="94" t="s">
        <v>78</v>
      </c>
      <c r="F12" s="94" t="s">
        <v>78</v>
      </c>
      <c r="G12" s="94" t="s">
        <v>78</v>
      </c>
      <c r="H12" s="94" t="s">
        <v>78</v>
      </c>
      <c r="I12" s="94" t="s">
        <v>78</v>
      </c>
      <c r="J12" s="56">
        <f t="shared" si="0"/>
        <v>8.239504495598899</v>
      </c>
      <c r="K12" s="56">
        <f t="shared" si="1"/>
        <v>23.076828253226711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2" t="s">
        <v>9</v>
      </c>
      <c r="C13" s="21">
        <f>1958368969.29</f>
        <v>1958368969.29</v>
      </c>
      <c r="D13" s="21">
        <f>614280840.41</f>
        <v>614280840.40999997</v>
      </c>
      <c r="E13" s="109" t="s">
        <v>78</v>
      </c>
      <c r="F13" s="109" t="s">
        <v>78</v>
      </c>
      <c r="G13" s="109" t="s">
        <v>78</v>
      </c>
      <c r="H13" s="109" t="s">
        <v>78</v>
      </c>
      <c r="I13" s="109" t="s">
        <v>78</v>
      </c>
      <c r="J13" s="30">
        <f t="shared" si="0"/>
        <v>6.1427483261969735</v>
      </c>
      <c r="K13" s="30">
        <f t="shared" si="1"/>
        <v>31.366961489014273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2" t="s">
        <v>6</v>
      </c>
      <c r="C14" s="21">
        <f>14095000</f>
        <v>14095000</v>
      </c>
      <c r="D14" s="21">
        <f>0</f>
        <v>0</v>
      </c>
      <c r="E14" s="109" t="s">
        <v>78</v>
      </c>
      <c r="F14" s="109" t="s">
        <v>78</v>
      </c>
      <c r="G14" s="109" t="s">
        <v>78</v>
      </c>
      <c r="H14" s="109" t="s">
        <v>78</v>
      </c>
      <c r="I14" s="109" t="s">
        <v>78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2" t="s">
        <v>7</v>
      </c>
      <c r="C15" s="21">
        <f>392031486.99</f>
        <v>392031486.99000001</v>
      </c>
      <c r="D15" s="21">
        <f>10754585.43</f>
        <v>10754585.43</v>
      </c>
      <c r="E15" s="109" t="s">
        <v>78</v>
      </c>
      <c r="F15" s="109" t="s">
        <v>78</v>
      </c>
      <c r="G15" s="109" t="s">
        <v>78</v>
      </c>
      <c r="H15" s="109" t="s">
        <v>78</v>
      </c>
      <c r="I15" s="109" t="s">
        <v>78</v>
      </c>
      <c r="J15" s="30">
        <f t="shared" si="0"/>
        <v>0.10754480247989094</v>
      </c>
      <c r="K15" s="30">
        <f t="shared" si="1"/>
        <v>2.743296338917371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2" t="s">
        <v>6</v>
      </c>
      <c r="C16" s="21">
        <f>344822065.99</f>
        <v>344822065.99000001</v>
      </c>
      <c r="D16" s="21">
        <f>1444601.72</f>
        <v>1444601.72</v>
      </c>
      <c r="E16" s="109" t="s">
        <v>78</v>
      </c>
      <c r="F16" s="109" t="s">
        <v>78</v>
      </c>
      <c r="G16" s="109" t="s">
        <v>78</v>
      </c>
      <c r="H16" s="109" t="s">
        <v>78</v>
      </c>
      <c r="I16" s="109" t="s">
        <v>78</v>
      </c>
      <c r="J16" s="30">
        <f t="shared" si="0"/>
        <v>1.4445875915043127E-2</v>
      </c>
      <c r="K16" s="30">
        <f t="shared" si="1"/>
        <v>0.41894120547433122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2" t="s">
        <v>10</v>
      </c>
      <c r="C17" s="21">
        <f>102220490.87</f>
        <v>102220490.87</v>
      </c>
      <c r="D17" s="21">
        <f>23306490.63</f>
        <v>23306490.629999999</v>
      </c>
      <c r="E17" s="109" t="s">
        <v>78</v>
      </c>
      <c r="F17" s="109" t="s">
        <v>78</v>
      </c>
      <c r="G17" s="109" t="s">
        <v>78</v>
      </c>
      <c r="H17" s="109" t="s">
        <v>78</v>
      </c>
      <c r="I17" s="109" t="s">
        <v>78</v>
      </c>
      <c r="J17" s="30">
        <f t="shared" si="0"/>
        <v>0.23306262687828955</v>
      </c>
      <c r="K17" s="30">
        <f t="shared" si="1"/>
        <v>22.800213960663012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2" t="s">
        <v>6</v>
      </c>
      <c r="C18" s="21">
        <f>9965119</f>
        <v>9965119</v>
      </c>
      <c r="D18" s="21">
        <f>0</f>
        <v>0</v>
      </c>
      <c r="E18" s="109" t="s">
        <v>78</v>
      </c>
      <c r="F18" s="109" t="s">
        <v>78</v>
      </c>
      <c r="G18" s="109" t="s">
        <v>78</v>
      </c>
      <c r="H18" s="109" t="s">
        <v>78</v>
      </c>
      <c r="I18" s="109" t="s">
        <v>78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2" t="s">
        <v>11</v>
      </c>
      <c r="C19" s="21">
        <f>78645389.46</f>
        <v>78645389.459999993</v>
      </c>
      <c r="D19" s="21">
        <f>17680959.08</f>
        <v>17680959.079999998</v>
      </c>
      <c r="E19" s="109" t="s">
        <v>78</v>
      </c>
      <c r="F19" s="109" t="s">
        <v>78</v>
      </c>
      <c r="G19" s="109" t="s">
        <v>78</v>
      </c>
      <c r="H19" s="109" t="s">
        <v>78</v>
      </c>
      <c r="I19" s="109" t="s">
        <v>78</v>
      </c>
      <c r="J19" s="30">
        <f t="shared" si="0"/>
        <v>0.17680786156660194</v>
      </c>
      <c r="K19" s="30">
        <f t="shared" si="1"/>
        <v>22.481876180412012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2" t="s">
        <v>6</v>
      </c>
      <c r="C20" s="21">
        <f>2856341</f>
        <v>2856341</v>
      </c>
      <c r="D20" s="21">
        <f>1682835.16</f>
        <v>1682835.16</v>
      </c>
      <c r="E20" s="109" t="s">
        <v>78</v>
      </c>
      <c r="F20" s="109" t="s">
        <v>78</v>
      </c>
      <c r="G20" s="109" t="s">
        <v>78</v>
      </c>
      <c r="H20" s="109" t="s">
        <v>78</v>
      </c>
      <c r="I20" s="109" t="s">
        <v>78</v>
      </c>
      <c r="J20" s="30">
        <f t="shared" si="0"/>
        <v>1.6828187015333021E-2</v>
      </c>
      <c r="K20" s="30">
        <f t="shared" si="1"/>
        <v>58.915765309534123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2" t="s">
        <v>54</v>
      </c>
      <c r="C21" s="21">
        <f>351720513.96</f>
        <v>351720513.95999998</v>
      </c>
      <c r="D21" s="21">
        <f>49969837.8</f>
        <v>49969837.799999997</v>
      </c>
      <c r="E21" s="109" t="s">
        <v>78</v>
      </c>
      <c r="F21" s="109" t="s">
        <v>78</v>
      </c>
      <c r="G21" s="109" t="s">
        <v>78</v>
      </c>
      <c r="H21" s="109" t="s">
        <v>78</v>
      </c>
      <c r="I21" s="109" t="s">
        <v>78</v>
      </c>
      <c r="J21" s="30">
        <f t="shared" si="0"/>
        <v>0.49969349084925058</v>
      </c>
      <c r="K21" s="30">
        <f t="shared" si="1"/>
        <v>14.207257130780523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2" t="s">
        <v>6</v>
      </c>
      <c r="C22" s="21">
        <f>233727219.89</f>
        <v>233727219.88999999</v>
      </c>
      <c r="D22" s="21">
        <f>21676854.33</f>
        <v>21676854.329999998</v>
      </c>
      <c r="E22" s="109" t="s">
        <v>78</v>
      </c>
      <c r="F22" s="109" t="s">
        <v>78</v>
      </c>
      <c r="G22" s="109" t="s">
        <v>78</v>
      </c>
      <c r="H22" s="109" t="s">
        <v>78</v>
      </c>
      <c r="I22" s="109" t="s">
        <v>78</v>
      </c>
      <c r="J22" s="30">
        <f t="shared" si="0"/>
        <v>0.2167664232600009</v>
      </c>
      <c r="K22" s="30">
        <f t="shared" si="1"/>
        <v>9.2744244081634424</v>
      </c>
      <c r="L22" s="26"/>
      <c r="M22" s="34"/>
      <c r="N22" s="34"/>
      <c r="O22" s="34"/>
      <c r="P22" s="34"/>
      <c r="Q22" s="34"/>
    </row>
    <row r="23" spans="2:17" outlineLevel="1" x14ac:dyDescent="0.2">
      <c r="B23" s="102" t="s">
        <v>8</v>
      </c>
      <c r="C23" s="21">
        <f>38743500</f>
        <v>38743500</v>
      </c>
      <c r="D23" s="21">
        <f>28280564.39</f>
        <v>28280564.390000001</v>
      </c>
      <c r="E23" s="109" t="s">
        <v>78</v>
      </c>
      <c r="F23" s="109" t="s">
        <v>78</v>
      </c>
      <c r="G23" s="109" t="s">
        <v>78</v>
      </c>
      <c r="H23" s="109" t="s">
        <v>78</v>
      </c>
      <c r="I23" s="109" t="s">
        <v>78</v>
      </c>
      <c r="J23" s="30">
        <f t="shared" si="0"/>
        <v>0.28280287800386067</v>
      </c>
      <c r="K23" s="30">
        <f t="shared" si="1"/>
        <v>72.99434586446759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2" t="s">
        <v>6</v>
      </c>
      <c r="C24" s="21">
        <f>6875000</f>
        <v>6875000</v>
      </c>
      <c r="D24" s="21">
        <f>6875000</f>
        <v>6875000</v>
      </c>
      <c r="E24" s="109" t="s">
        <v>78</v>
      </c>
      <c r="F24" s="109" t="s">
        <v>78</v>
      </c>
      <c r="G24" s="109" t="s">
        <v>78</v>
      </c>
      <c r="H24" s="109" t="s">
        <v>78</v>
      </c>
      <c r="I24" s="109" t="s">
        <v>78</v>
      </c>
      <c r="J24" s="30">
        <f t="shared" si="0"/>
        <v>6.8749327611157415E-2</v>
      </c>
      <c r="K24" s="30">
        <f t="shared" si="1"/>
        <v>100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2" t="s">
        <v>69</v>
      </c>
      <c r="C25" s="21">
        <f>0</f>
        <v>0</v>
      </c>
      <c r="D25" s="21">
        <f>0</f>
        <v>0</v>
      </c>
      <c r="E25" s="109" t="s">
        <v>78</v>
      </c>
      <c r="F25" s="109" t="s">
        <v>78</v>
      </c>
      <c r="G25" s="109" t="s">
        <v>78</v>
      </c>
      <c r="H25" s="109" t="s">
        <v>78</v>
      </c>
      <c r="I25" s="109" t="s">
        <v>78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2" t="s">
        <v>70</v>
      </c>
      <c r="C26" s="21">
        <f>0</f>
        <v>0</v>
      </c>
      <c r="D26" s="21">
        <f>0</f>
        <v>0</v>
      </c>
      <c r="E26" s="109" t="s">
        <v>78</v>
      </c>
      <c r="F26" s="109" t="s">
        <v>78</v>
      </c>
      <c r="G26" s="109" t="s">
        <v>78</v>
      </c>
      <c r="H26" s="109" t="s">
        <v>78</v>
      </c>
      <c r="I26" s="109" t="s">
        <v>78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33.75" outlineLevel="1" x14ac:dyDescent="0.2">
      <c r="B27" s="113" t="s">
        <v>111</v>
      </c>
      <c r="C27" s="67">
        <f>646890564.89</f>
        <v>646890564.88999999</v>
      </c>
      <c r="D27" s="67">
        <f>77844956.68</f>
        <v>77844956.680000007</v>
      </c>
      <c r="E27" s="109" t="s">
        <v>78</v>
      </c>
      <c r="F27" s="109" t="s">
        <v>78</v>
      </c>
      <c r="G27" s="109" t="s">
        <v>78</v>
      </c>
      <c r="H27" s="109" t="s">
        <v>78</v>
      </c>
      <c r="I27" s="109" t="s">
        <v>78</v>
      </c>
      <c r="J27" s="68">
        <f t="shared" si="0"/>
        <v>0.77844195340649858</v>
      </c>
      <c r="K27" s="68">
        <f t="shared" si="1"/>
        <v>12.033713413834857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2" t="s">
        <v>6</v>
      </c>
      <c r="C28" s="21">
        <f>646890564.89</f>
        <v>646890564.88999999</v>
      </c>
      <c r="D28" s="21">
        <f>77844956.68</f>
        <v>77844956.680000007</v>
      </c>
      <c r="E28" s="109" t="s">
        <v>78</v>
      </c>
      <c r="F28" s="109" t="s">
        <v>78</v>
      </c>
      <c r="G28" s="109" t="s">
        <v>78</v>
      </c>
      <c r="H28" s="109" t="s">
        <v>78</v>
      </c>
      <c r="I28" s="109" t="s">
        <v>78</v>
      </c>
      <c r="J28" s="30">
        <f t="shared" si="0"/>
        <v>0.77844195340649858</v>
      </c>
      <c r="K28" s="30">
        <f t="shared" si="1"/>
        <v>12.033713413834857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3" t="s">
        <v>86</v>
      </c>
      <c r="C29" s="21">
        <f>1880624</f>
        <v>1880624</v>
      </c>
      <c r="D29" s="21">
        <f>1840273.62</f>
        <v>1840273.62</v>
      </c>
      <c r="E29" s="109" t="s">
        <v>78</v>
      </c>
      <c r="F29" s="109" t="s">
        <v>78</v>
      </c>
      <c r="G29" s="109" t="s">
        <v>78</v>
      </c>
      <c r="H29" s="109" t="s">
        <v>78</v>
      </c>
      <c r="I29" s="109" t="s">
        <v>78</v>
      </c>
      <c r="J29" s="30">
        <f t="shared" si="0"/>
        <v>1.8402556217534633E-2</v>
      </c>
      <c r="K29" s="30">
        <f t="shared" si="1"/>
        <v>97.854415342992539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2" t="s">
        <v>6</v>
      </c>
      <c r="C30" s="21">
        <f>0</f>
        <v>0</v>
      </c>
      <c r="D30" s="21">
        <f>0</f>
        <v>0</v>
      </c>
      <c r="E30" s="109" t="s">
        <v>78</v>
      </c>
      <c r="F30" s="109" t="s">
        <v>78</v>
      </c>
      <c r="G30" s="109" t="s">
        <v>78</v>
      </c>
      <c r="H30" s="109" t="s">
        <v>78</v>
      </c>
      <c r="I30" s="109" t="s">
        <v>78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1" t="s">
        <v>46</v>
      </c>
      <c r="C31" s="55">
        <f>1857344008.18</f>
        <v>1857344008.1800001</v>
      </c>
      <c r="D31" s="55">
        <f>402138882.6</f>
        <v>402138882.60000002</v>
      </c>
      <c r="E31" s="94" t="s">
        <v>78</v>
      </c>
      <c r="F31" s="94" t="s">
        <v>78</v>
      </c>
      <c r="G31" s="94" t="s">
        <v>78</v>
      </c>
      <c r="H31" s="94" t="s">
        <v>78</v>
      </c>
      <c r="I31" s="94" t="s">
        <v>78</v>
      </c>
      <c r="J31" s="56">
        <f t="shared" si="0"/>
        <v>4.0213494960075886</v>
      </c>
      <c r="K31" s="56">
        <f t="shared" si="1"/>
        <v>21.651287043699213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3" t="s">
        <v>47</v>
      </c>
      <c r="C32" s="20">
        <f>634162628</f>
        <v>634162628</v>
      </c>
      <c r="D32" s="20">
        <f>107149368.64</f>
        <v>107149368.64</v>
      </c>
      <c r="E32" s="109" t="s">
        <v>78</v>
      </c>
      <c r="F32" s="109" t="s">
        <v>78</v>
      </c>
      <c r="G32" s="109" t="s">
        <v>78</v>
      </c>
      <c r="H32" s="109" t="s">
        <v>78</v>
      </c>
      <c r="I32" s="109" t="s">
        <v>78</v>
      </c>
      <c r="J32" s="30">
        <f t="shared" si="0"/>
        <v>1.0714832069760054</v>
      </c>
      <c r="K32" s="30">
        <f t="shared" si="1"/>
        <v>16.896197270079433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1" t="s">
        <v>59</v>
      </c>
      <c r="C33" s="55">
        <f>7215342317.85</f>
        <v>7215342317.8500004</v>
      </c>
      <c r="D33" s="55">
        <f>1063231938.83</f>
        <v>1063231938.83</v>
      </c>
      <c r="E33" s="94" t="s">
        <v>78</v>
      </c>
      <c r="F33" s="94" t="s">
        <v>78</v>
      </c>
      <c r="G33" s="94" t="s">
        <v>78</v>
      </c>
      <c r="H33" s="94" t="s">
        <v>78</v>
      </c>
      <c r="I33" s="94" t="s">
        <v>78</v>
      </c>
      <c r="J33" s="59">
        <f t="shared" si="0"/>
        <v>10.6322154020756</v>
      </c>
      <c r="K33" s="59">
        <f t="shared" si="1"/>
        <v>14.735710268377368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3" t="s">
        <v>60</v>
      </c>
      <c r="C34" s="20">
        <f>4418387170.56</f>
        <v>4418387170.5600004</v>
      </c>
      <c r="D34" s="20">
        <f>415241802.16</f>
        <v>415241802.16000003</v>
      </c>
      <c r="E34" s="109" t="s">
        <v>78</v>
      </c>
      <c r="F34" s="109" t="s">
        <v>78</v>
      </c>
      <c r="G34" s="109" t="s">
        <v>78</v>
      </c>
      <c r="H34" s="109" t="s">
        <v>78</v>
      </c>
      <c r="I34" s="109" t="s">
        <v>78</v>
      </c>
      <c r="J34" s="30">
        <f t="shared" si="0"/>
        <v>4.1523774101156734</v>
      </c>
      <c r="K34" s="30">
        <f t="shared" si="1"/>
        <v>9.3980401927378168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98</v>
      </c>
      <c r="C35" s="22">
        <f>4337684330</f>
        <v>4337684330</v>
      </c>
      <c r="D35" s="22">
        <f>1084421082.51</f>
        <v>1084421082.51</v>
      </c>
      <c r="E35" s="94" t="s">
        <v>78</v>
      </c>
      <c r="F35" s="94" t="s">
        <v>78</v>
      </c>
      <c r="G35" s="94" t="s">
        <v>78</v>
      </c>
      <c r="H35" s="94" t="s">
        <v>78</v>
      </c>
      <c r="I35" s="94" t="s">
        <v>78</v>
      </c>
      <c r="J35" s="29">
        <f t="shared" si="0"/>
        <v>10.844104766534684</v>
      </c>
      <c r="K35" s="29">
        <f t="shared" si="1"/>
        <v>25.000000000230539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99</v>
      </c>
      <c r="C36" s="21">
        <f>0</f>
        <v>0</v>
      </c>
      <c r="D36" s="21">
        <f>0</f>
        <v>0</v>
      </c>
      <c r="E36" s="109" t="s">
        <v>78</v>
      </c>
      <c r="F36" s="109" t="s">
        <v>78</v>
      </c>
      <c r="G36" s="109" t="s">
        <v>78</v>
      </c>
      <c r="H36" s="109" t="s">
        <v>78</v>
      </c>
      <c r="I36" s="109" t="s">
        <v>78</v>
      </c>
      <c r="J36" s="30">
        <f t="shared" si="0"/>
        <v>0</v>
      </c>
      <c r="K36" s="30" t="str">
        <f t="shared" si="1"/>
        <v/>
      </c>
      <c r="L36" s="27"/>
      <c r="M36" s="34"/>
      <c r="N36" s="34"/>
      <c r="O36" s="34"/>
      <c r="P36" s="34"/>
      <c r="Q36" s="34"/>
    </row>
    <row r="37" spans="1:26" ht="22.5" outlineLevel="1" x14ac:dyDescent="0.2">
      <c r="B37" s="60" t="s">
        <v>100</v>
      </c>
      <c r="C37" s="21">
        <f>0</f>
        <v>0</v>
      </c>
      <c r="D37" s="21">
        <f>0</f>
        <v>0</v>
      </c>
      <c r="E37" s="109" t="s">
        <v>78</v>
      </c>
      <c r="F37" s="109" t="s">
        <v>78</v>
      </c>
      <c r="G37" s="109" t="s">
        <v>78</v>
      </c>
      <c r="H37" s="109" t="s">
        <v>78</v>
      </c>
      <c r="I37" s="109" t="s">
        <v>78</v>
      </c>
      <c r="J37" s="30">
        <f t="shared" si="0"/>
        <v>0</v>
      </c>
      <c r="K37" s="30" t="str">
        <f t="shared" si="1"/>
        <v/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102" t="s">
        <v>6</v>
      </c>
      <c r="C38" s="21">
        <f>0</f>
        <v>0</v>
      </c>
      <c r="D38" s="21">
        <f>0</f>
        <v>0</v>
      </c>
      <c r="E38" s="109" t="s">
        <v>78</v>
      </c>
      <c r="F38" s="109" t="s">
        <v>78</v>
      </c>
      <c r="G38" s="109" t="s">
        <v>78</v>
      </c>
      <c r="H38" s="109" t="s">
        <v>78</v>
      </c>
      <c r="I38" s="109" t="s">
        <v>78</v>
      </c>
      <c r="J38" s="30">
        <f t="shared" si="0"/>
        <v>0</v>
      </c>
      <c r="K38" s="30" t="str">
        <f t="shared" si="1"/>
        <v/>
      </c>
      <c r="L38" s="27"/>
      <c r="M38" s="34"/>
      <c r="N38" s="34"/>
      <c r="O38" s="34"/>
      <c r="P38" s="34"/>
      <c r="Q38" s="34"/>
    </row>
    <row r="39" spans="1:26" s="5" customFormat="1" x14ac:dyDescent="0.2">
      <c r="B39" s="97" t="s">
        <v>85</v>
      </c>
      <c r="C39" s="55">
        <f>+C5</f>
        <v>40726113259.870003</v>
      </c>
      <c r="D39" s="55">
        <f>+D5</f>
        <v>10000097802.969999</v>
      </c>
      <c r="E39" s="94" t="s">
        <v>78</v>
      </c>
      <c r="F39" s="94" t="s">
        <v>78</v>
      </c>
      <c r="G39" s="94" t="s">
        <v>78</v>
      </c>
      <c r="H39" s="94" t="s">
        <v>78</v>
      </c>
      <c r="I39" s="94" t="s">
        <v>78</v>
      </c>
      <c r="J39" s="59">
        <f>IF($D$5=0,"",100*$D39/$D$39)</f>
        <v>100</v>
      </c>
      <c r="K39" s="91">
        <f t="shared" si="1"/>
        <v>24.554510613768102</v>
      </c>
      <c r="L39" s="93"/>
      <c r="M39" s="48"/>
      <c r="N39" s="48"/>
      <c r="O39" s="48"/>
      <c r="P39" s="48"/>
      <c r="Q39" s="48"/>
    </row>
    <row r="40" spans="1:26" s="5" customFormat="1" x14ac:dyDescent="0.2">
      <c r="B40" s="98" t="s">
        <v>49</v>
      </c>
      <c r="C40" s="21">
        <f>8283715574.73</f>
        <v>8283715574.7299995</v>
      </c>
      <c r="D40" s="21">
        <f>771880757.04</f>
        <v>771880757.03999996</v>
      </c>
      <c r="E40" s="109" t="s">
        <v>78</v>
      </c>
      <c r="F40" s="109" t="s">
        <v>78</v>
      </c>
      <c r="G40" s="109" t="s">
        <v>78</v>
      </c>
      <c r="H40" s="109" t="s">
        <v>78</v>
      </c>
      <c r="I40" s="109" t="s">
        <v>78</v>
      </c>
      <c r="J40" s="30">
        <f>IF($D$5=0,"",100*$D40/$D$39)</f>
        <v>7.7187320789078058</v>
      </c>
      <c r="K40" s="92">
        <f t="shared" si="1"/>
        <v>9.3180499749975869</v>
      </c>
      <c r="L40" s="93"/>
      <c r="M40" s="48"/>
      <c r="N40" s="48"/>
      <c r="O40" s="48"/>
      <c r="P40" s="48"/>
      <c r="Q40" s="48"/>
    </row>
    <row r="41" spans="1:26" s="5" customFormat="1" x14ac:dyDescent="0.2">
      <c r="A41" s="2"/>
      <c r="B41" s="98" t="s">
        <v>50</v>
      </c>
      <c r="C41" s="21">
        <f>C39-C40</f>
        <v>32442397685.140003</v>
      </c>
      <c r="D41" s="21">
        <f>D39-D40</f>
        <v>9228217045.9300003</v>
      </c>
      <c r="E41" s="109" t="s">
        <v>78</v>
      </c>
      <c r="F41" s="109" t="s">
        <v>78</v>
      </c>
      <c r="G41" s="109" t="s">
        <v>78</v>
      </c>
      <c r="H41" s="109" t="s">
        <v>78</v>
      </c>
      <c r="I41" s="109" t="s">
        <v>78</v>
      </c>
      <c r="J41" s="30">
        <f>IF($D$5=0,"",100*$D41/$D$39)</f>
        <v>92.281267921092208</v>
      </c>
      <c r="K41" s="92">
        <f t="shared" si="1"/>
        <v>28.444929180301973</v>
      </c>
      <c r="L41" s="93"/>
      <c r="M41" s="49"/>
      <c r="N41" s="49"/>
      <c r="O41" s="50"/>
      <c r="P41" s="50"/>
      <c r="Q41" s="19"/>
    </row>
    <row r="42" spans="1:26" s="5" customFormat="1" x14ac:dyDescent="0.2">
      <c r="A42" s="2"/>
      <c r="B42" s="118" t="s">
        <v>87</v>
      </c>
      <c r="C42" s="87"/>
      <c r="D42" s="87"/>
      <c r="E42" s="117"/>
      <c r="F42" s="117"/>
      <c r="G42" s="117"/>
      <c r="H42" s="117"/>
      <c r="I42" s="117"/>
      <c r="J42" s="58"/>
      <c r="K42" s="58"/>
      <c r="L42" s="58"/>
      <c r="M42" s="49"/>
      <c r="N42" s="49"/>
      <c r="O42" s="50"/>
      <c r="P42" s="50"/>
      <c r="Q42" s="19"/>
    </row>
    <row r="43" spans="1:26" ht="18" customHeight="1" x14ac:dyDescent="0.2">
      <c r="B43" s="99" t="str">
        <f>CONCATENATE("Informacja z wykonania budżetów województw za ",$D$115," ",$C$116," rok    ",$C$118,"")</f>
        <v xml:space="preserve">Informacja z wykonania budżetów województw za I Kwartał 2026 rok    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26" s="5" customFormat="1" ht="10.5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56" t="s">
        <v>0</v>
      </c>
      <c r="C45" s="129" t="s">
        <v>31</v>
      </c>
      <c r="D45" s="129" t="s">
        <v>33</v>
      </c>
      <c r="E45" s="129" t="s">
        <v>32</v>
      </c>
      <c r="F45" s="129" t="s">
        <v>12</v>
      </c>
      <c r="G45" s="129"/>
      <c r="H45" s="129"/>
      <c r="I45" s="151" t="s">
        <v>61</v>
      </c>
      <c r="J45" s="129" t="s">
        <v>2</v>
      </c>
      <c r="K45" s="132" t="s">
        <v>18</v>
      </c>
      <c r="M45" s="10"/>
      <c r="N45" s="4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56"/>
      <c r="C46" s="129"/>
      <c r="D46" s="129"/>
      <c r="E46" s="130"/>
      <c r="F46" s="136" t="s">
        <v>34</v>
      </c>
      <c r="G46" s="135" t="s">
        <v>23</v>
      </c>
      <c r="H46" s="130"/>
      <c r="I46" s="152"/>
      <c r="J46" s="129"/>
      <c r="K46" s="132"/>
      <c r="L46" s="11"/>
      <c r="M46" s="12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5.5" customHeight="1" x14ac:dyDescent="0.2">
      <c r="B47" s="156"/>
      <c r="C47" s="129"/>
      <c r="D47" s="129"/>
      <c r="E47" s="130"/>
      <c r="F47" s="130"/>
      <c r="G47" s="15" t="s">
        <v>29</v>
      </c>
      <c r="H47" s="15" t="s">
        <v>30</v>
      </c>
      <c r="I47" s="153"/>
      <c r="J47" s="129"/>
      <c r="K47" s="132"/>
      <c r="L47" s="11"/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56"/>
      <c r="C48" s="126" t="s">
        <v>53</v>
      </c>
      <c r="D48" s="127"/>
      <c r="E48" s="127"/>
      <c r="F48" s="127"/>
      <c r="G48" s="127"/>
      <c r="H48" s="127"/>
      <c r="I48" s="128"/>
      <c r="J48" s="131" t="s">
        <v>4</v>
      </c>
      <c r="K48" s="131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4">
        <v>1</v>
      </c>
      <c r="C49" s="16">
        <v>2</v>
      </c>
      <c r="D49" s="16">
        <v>3</v>
      </c>
      <c r="E49" s="16">
        <v>4</v>
      </c>
      <c r="F49" s="14">
        <v>5</v>
      </c>
      <c r="G49" s="14">
        <v>6</v>
      </c>
      <c r="H49" s="16">
        <v>7</v>
      </c>
      <c r="I49" s="16">
        <v>8</v>
      </c>
      <c r="J49" s="14">
        <v>9</v>
      </c>
      <c r="K49" s="16">
        <v>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7" customHeight="1" x14ac:dyDescent="0.2">
      <c r="B50" s="95" t="s">
        <v>37</v>
      </c>
      <c r="C50" s="61">
        <f>50949031570.4</f>
        <v>50949031570.400002</v>
      </c>
      <c r="D50" s="72">
        <f>6774270088.49</f>
        <v>6774270088.4899998</v>
      </c>
      <c r="E50" s="72">
        <f>31944577204.53</f>
        <v>31944577204.529999</v>
      </c>
      <c r="F50" s="61">
        <f>518752956.36</f>
        <v>518752956.36000001</v>
      </c>
      <c r="G50" s="61">
        <f>3458.4</f>
        <v>3458.4</v>
      </c>
      <c r="H50" s="61">
        <f>223367.57</f>
        <v>223367.57</v>
      </c>
      <c r="I50" s="73">
        <f>0</f>
        <v>0</v>
      </c>
      <c r="J50" s="47">
        <f>IF($D$50=0,"",100*$D50/$D$50)</f>
        <v>100</v>
      </c>
      <c r="K50" s="47">
        <f>IF(C50=0,"",100*D50/C50)</f>
        <v>13.296170466222691</v>
      </c>
      <c r="L50" s="34"/>
      <c r="O50" s="88"/>
    </row>
    <row r="51" spans="2:26" x14ac:dyDescent="0.2">
      <c r="B51" s="96" t="s">
        <v>14</v>
      </c>
      <c r="C51" s="23">
        <f>22951985796.73</f>
        <v>22951985796.73</v>
      </c>
      <c r="D51" s="23">
        <f>1430003898.19</f>
        <v>1430003898.1900001</v>
      </c>
      <c r="E51" s="23">
        <f>14079706066.02</f>
        <v>14079706066.02</v>
      </c>
      <c r="F51" s="23">
        <f>276991798.96</f>
        <v>276991798.95999998</v>
      </c>
      <c r="G51" s="23">
        <f>0</f>
        <v>0</v>
      </c>
      <c r="H51" s="23">
        <f>218249.33</f>
        <v>218249.33</v>
      </c>
      <c r="I51" s="74">
        <f>0</f>
        <v>0</v>
      </c>
      <c r="J51" s="47">
        <f t="shared" ref="J51:J59" si="2">IF($D$50=0,"",100*$D51/$D$50)</f>
        <v>21.109342844473908</v>
      </c>
      <c r="K51" s="47">
        <f t="shared" ref="K51:K59" si="3">IF(C51=0,"",100*D51/C51)</f>
        <v>6.2304147050915946</v>
      </c>
      <c r="L51" s="34"/>
      <c r="O51" s="81"/>
    </row>
    <row r="52" spans="2:26" ht="12.75" customHeight="1" outlineLevel="1" x14ac:dyDescent="0.2">
      <c r="B52" s="28" t="s">
        <v>13</v>
      </c>
      <c r="C52" s="20">
        <f>22572467687.73</f>
        <v>22572467687.73</v>
      </c>
      <c r="D52" s="20">
        <f>1352916675.99</f>
        <v>1352916675.99</v>
      </c>
      <c r="E52" s="20">
        <f>13900787186.82</f>
        <v>13900787186.82</v>
      </c>
      <c r="F52" s="20">
        <f>276991798.96</f>
        <v>276991798.95999998</v>
      </c>
      <c r="G52" s="20">
        <f>0</f>
        <v>0</v>
      </c>
      <c r="H52" s="20">
        <f>218249.33</f>
        <v>218249.33</v>
      </c>
      <c r="I52" s="75">
        <f>0</f>
        <v>0</v>
      </c>
      <c r="J52" s="47">
        <f t="shared" si="2"/>
        <v>19.971401469343661</v>
      </c>
      <c r="K52" s="47">
        <f t="shared" si="3"/>
        <v>5.9936587116056517</v>
      </c>
      <c r="L52" s="34"/>
      <c r="O52" s="87"/>
    </row>
    <row r="53" spans="2:26" ht="27" customHeight="1" x14ac:dyDescent="0.2">
      <c r="B53" s="96" t="s">
        <v>38</v>
      </c>
      <c r="C53" s="23">
        <f t="shared" ref="C53:I53" si="4">C50-C51</f>
        <v>27997045773.670002</v>
      </c>
      <c r="D53" s="23">
        <f>D50-D51</f>
        <v>5344266190.2999992</v>
      </c>
      <c r="E53" s="23">
        <f>E50-E51</f>
        <v>17864871138.509998</v>
      </c>
      <c r="F53" s="23">
        <f t="shared" si="4"/>
        <v>241761157.40000004</v>
      </c>
      <c r="G53" s="23">
        <f t="shared" si="4"/>
        <v>3458.4</v>
      </c>
      <c r="H53" s="23">
        <f t="shared" si="4"/>
        <v>5118.2400000000198</v>
      </c>
      <c r="I53" s="74">
        <f t="shared" si="4"/>
        <v>0</v>
      </c>
      <c r="J53" s="47">
        <f t="shared" si="2"/>
        <v>78.890657155526085</v>
      </c>
      <c r="K53" s="47">
        <f t="shared" si="3"/>
        <v>19.088678975286914</v>
      </c>
      <c r="L53" s="34"/>
      <c r="O53" s="81"/>
    </row>
    <row r="54" spans="2:26" ht="22.5" outlineLevel="1" x14ac:dyDescent="0.2">
      <c r="B54" s="28" t="s">
        <v>71</v>
      </c>
      <c r="C54" s="20">
        <f>6962537334.07</f>
        <v>6962537334.0699997</v>
      </c>
      <c r="D54" s="20">
        <f>1727918884.41</f>
        <v>1727918884.4100001</v>
      </c>
      <c r="E54" s="20">
        <f>5592524890.28999</f>
        <v>5592524890.2899904</v>
      </c>
      <c r="F54" s="20">
        <f>100150317.21</f>
        <v>100150317.20999999</v>
      </c>
      <c r="G54" s="20">
        <f>3458.4</f>
        <v>3458.4</v>
      </c>
      <c r="H54" s="20">
        <f>0</f>
        <v>0</v>
      </c>
      <c r="I54" s="75">
        <f>0</f>
        <v>0</v>
      </c>
      <c r="J54" s="47">
        <f t="shared" si="2"/>
        <v>25.507085809080237</v>
      </c>
      <c r="K54" s="47">
        <f t="shared" si="3"/>
        <v>24.817373343977934</v>
      </c>
      <c r="L54" s="34"/>
      <c r="O54" s="87"/>
    </row>
    <row r="55" spans="2:26" ht="12.75" customHeight="1" outlineLevel="1" x14ac:dyDescent="0.2">
      <c r="B55" s="60" t="s">
        <v>28</v>
      </c>
      <c r="C55" s="62">
        <f>11657563361.9</f>
        <v>11657563361.9</v>
      </c>
      <c r="D55" s="62">
        <f>2466406283.63</f>
        <v>2466406283.6300001</v>
      </c>
      <c r="E55" s="62">
        <f>8123761417.41</f>
        <v>8123761417.4099998</v>
      </c>
      <c r="F55" s="62">
        <f>4174986.73</f>
        <v>4174986.73</v>
      </c>
      <c r="G55" s="62">
        <f>0</f>
        <v>0</v>
      </c>
      <c r="H55" s="62">
        <f>0</f>
        <v>0</v>
      </c>
      <c r="I55" s="76">
        <f>0</f>
        <v>0</v>
      </c>
      <c r="J55" s="47">
        <f t="shared" si="2"/>
        <v>36.408443292224383</v>
      </c>
      <c r="K55" s="47">
        <f t="shared" si="3"/>
        <v>21.157133845747456</v>
      </c>
      <c r="L55" s="34"/>
      <c r="O55" s="81"/>
    </row>
    <row r="56" spans="2:26" ht="12.75" customHeight="1" outlineLevel="1" x14ac:dyDescent="0.2">
      <c r="B56" s="60" t="s">
        <v>27</v>
      </c>
      <c r="C56" s="21">
        <f>386085127.48</f>
        <v>386085127.48000002</v>
      </c>
      <c r="D56" s="21">
        <f>39925714.39</f>
        <v>39925714.390000001</v>
      </c>
      <c r="E56" s="21">
        <f>205231644.04</f>
        <v>205231644.03999999</v>
      </c>
      <c r="F56" s="21">
        <f>6368726.25</f>
        <v>6368726.25</v>
      </c>
      <c r="G56" s="21">
        <f>0</f>
        <v>0</v>
      </c>
      <c r="H56" s="21">
        <f>0</f>
        <v>0</v>
      </c>
      <c r="I56" s="77">
        <f>0</f>
        <v>0</v>
      </c>
      <c r="J56" s="47">
        <f t="shared" si="2"/>
        <v>0.58937293418278125</v>
      </c>
      <c r="K56" s="47">
        <f t="shared" si="3"/>
        <v>10.341168708206258</v>
      </c>
      <c r="L56" s="34"/>
      <c r="O56" s="87"/>
    </row>
    <row r="57" spans="2:26" ht="22.5" customHeight="1" outlineLevel="1" x14ac:dyDescent="0.2">
      <c r="B57" s="60" t="s">
        <v>44</v>
      </c>
      <c r="C57" s="62">
        <f>184784338.14</f>
        <v>184784338.13999999</v>
      </c>
      <c r="D57" s="62">
        <f>4274720.78</f>
        <v>4274720.78</v>
      </c>
      <c r="E57" s="62">
        <f>30712651.41</f>
        <v>30712651.41</v>
      </c>
      <c r="F57" s="62">
        <f>0</f>
        <v>0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6.310230805918228E-2</v>
      </c>
      <c r="K57" s="47">
        <f t="shared" si="3"/>
        <v>2.3133566529655241</v>
      </c>
      <c r="L57" s="34"/>
      <c r="O57" s="81"/>
    </row>
    <row r="58" spans="2:26" ht="22.5" outlineLevel="1" x14ac:dyDescent="0.2">
      <c r="B58" s="60" t="s">
        <v>45</v>
      </c>
      <c r="C58" s="62">
        <f>245630618.66</f>
        <v>245630618.66</v>
      </c>
      <c r="D58" s="62">
        <f>44747502.13</f>
        <v>44747502.130000003</v>
      </c>
      <c r="E58" s="62">
        <f>92743123.5</f>
        <v>92743123.5</v>
      </c>
      <c r="F58" s="62">
        <f>1126236.01</f>
        <v>1126236.01</v>
      </c>
      <c r="G58" s="62">
        <f>0</f>
        <v>0</v>
      </c>
      <c r="H58" s="62">
        <f>0</f>
        <v>0</v>
      </c>
      <c r="I58" s="69">
        <f>0</f>
        <v>0</v>
      </c>
      <c r="J58" s="47">
        <f t="shared" si="2"/>
        <v>0.66055090135879602</v>
      </c>
      <c r="K58" s="47">
        <f t="shared" si="3"/>
        <v>18.217395849960848</v>
      </c>
      <c r="L58" s="34"/>
      <c r="O58" s="81"/>
    </row>
    <row r="59" spans="2:26" ht="12.75" customHeight="1" outlineLevel="1" x14ac:dyDescent="0.2">
      <c r="B59" s="60" t="s">
        <v>26</v>
      </c>
      <c r="C59" s="21">
        <f t="shared" ref="C59:I59" si="5">C53-C54-C55-C56-C57-C58</f>
        <v>8560444993.4200039</v>
      </c>
      <c r="D59" s="21">
        <f>D53-D54-D55-D56-D57-D58</f>
        <v>1060993084.9599992</v>
      </c>
      <c r="E59" s="78">
        <f>E53-E54-E55-E56-E57-E58</f>
        <v>3819897411.8600092</v>
      </c>
      <c r="F59" s="78">
        <f t="shared" si="5"/>
        <v>129940891.20000006</v>
      </c>
      <c r="G59" s="78">
        <f t="shared" si="5"/>
        <v>0</v>
      </c>
      <c r="H59" s="78">
        <f t="shared" si="5"/>
        <v>5118.2400000000198</v>
      </c>
      <c r="I59" s="79">
        <f t="shared" si="5"/>
        <v>0</v>
      </c>
      <c r="J59" s="80">
        <f t="shared" si="2"/>
        <v>15.662101910620706</v>
      </c>
      <c r="K59" s="47">
        <f t="shared" si="3"/>
        <v>12.394134718178002</v>
      </c>
      <c r="L59" s="34"/>
      <c r="O59" s="87"/>
    </row>
    <row r="60" spans="2:26" x14ac:dyDescent="0.2">
      <c r="B60" s="17" t="s">
        <v>15</v>
      </c>
      <c r="C60" s="114">
        <f>C5-C50</f>
        <v>-10222918310.529999</v>
      </c>
      <c r="D60" s="114">
        <f>D5-D50</f>
        <v>3225827714.4799995</v>
      </c>
      <c r="E60" s="84"/>
      <c r="F60" s="85"/>
      <c r="G60" s="85"/>
      <c r="H60" s="85"/>
      <c r="I60" s="163"/>
      <c r="J60" s="163"/>
      <c r="K60" s="25"/>
      <c r="L60" s="25"/>
      <c r="M60" s="51"/>
    </row>
    <row r="61" spans="2:26" ht="25.5" x14ac:dyDescent="0.2">
      <c r="B61" s="125" t="s">
        <v>110</v>
      </c>
      <c r="C61" s="114">
        <f>+C41-C53</f>
        <v>4445351911.4700012</v>
      </c>
      <c r="D61" s="114">
        <f>+D41-D53</f>
        <v>3883950855.6300011</v>
      </c>
      <c r="E61" s="83"/>
      <c r="F61" s="82"/>
      <c r="G61" s="82"/>
      <c r="H61" s="82"/>
      <c r="I61" s="154"/>
      <c r="J61" s="155"/>
      <c r="K61" s="34"/>
      <c r="L61" s="52"/>
      <c r="M61" s="52"/>
    </row>
    <row r="62" spans="2:26" ht="13.5" customHeight="1" outlineLevel="1" x14ac:dyDescent="0.2">
      <c r="B62" s="53"/>
      <c r="C62" s="54"/>
      <c r="D62" s="54"/>
      <c r="E62" s="54"/>
      <c r="F62" s="18"/>
      <c r="G62" s="18"/>
      <c r="H62" s="18"/>
      <c r="I62" s="18"/>
      <c r="J62" s="34"/>
      <c r="K62" s="34"/>
      <c r="L62" s="52"/>
      <c r="M62" s="52"/>
    </row>
    <row r="63" spans="2:26" ht="13.5" customHeight="1" outlineLevel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outlineLevel="1" x14ac:dyDescent="0.2">
      <c r="B64" s="149" t="s">
        <v>105</v>
      </c>
      <c r="C64" s="150" t="s">
        <v>101</v>
      </c>
      <c r="D64" s="150"/>
      <c r="E64" s="150" t="s">
        <v>102</v>
      </c>
      <c r="F64" s="150"/>
      <c r="G64" s="120" t="s">
        <v>106</v>
      </c>
      <c r="H64" s="18"/>
      <c r="I64" s="18"/>
      <c r="J64" s="34"/>
      <c r="K64" s="34"/>
      <c r="L64" s="52"/>
      <c r="M64" s="52"/>
    </row>
    <row r="65" spans="2:13" outlineLevel="1" x14ac:dyDescent="0.2">
      <c r="B65" s="149"/>
      <c r="C65" s="121" t="s">
        <v>103</v>
      </c>
      <c r="D65" s="121" t="s">
        <v>104</v>
      </c>
      <c r="E65" s="121" t="s">
        <v>103</v>
      </c>
      <c r="F65" s="121" t="s">
        <v>104</v>
      </c>
      <c r="G65" s="121" t="s">
        <v>103</v>
      </c>
      <c r="H65" s="18"/>
      <c r="I65" s="18"/>
      <c r="J65" s="34"/>
      <c r="K65" s="34"/>
      <c r="L65" s="52"/>
      <c r="M65" s="52"/>
    </row>
    <row r="66" spans="2:13" outlineLevel="1" x14ac:dyDescent="0.2">
      <c r="B66" s="122" t="s">
        <v>107</v>
      </c>
      <c r="C66" s="123">
        <f>0</f>
        <v>0</v>
      </c>
      <c r="D66" s="124">
        <f>0</f>
        <v>0</v>
      </c>
      <c r="E66" s="123">
        <f>16</f>
        <v>16</v>
      </c>
      <c r="F66" s="124">
        <f>+-10222918310.53</f>
        <v>-10222918310.530001</v>
      </c>
      <c r="G66" s="123">
        <f>0</f>
        <v>0</v>
      </c>
      <c r="H66" s="18"/>
      <c r="I66" s="18"/>
      <c r="J66" s="34"/>
      <c r="K66" s="34"/>
      <c r="L66" s="52"/>
      <c r="M66" s="52"/>
    </row>
    <row r="67" spans="2:13" outlineLevel="1" x14ac:dyDescent="0.2">
      <c r="B67" s="122" t="s">
        <v>108</v>
      </c>
      <c r="C67" s="123">
        <f>16</f>
        <v>16</v>
      </c>
      <c r="D67" s="124">
        <f>3225827714.48</f>
        <v>3225827714.48</v>
      </c>
      <c r="E67" s="123">
        <f>0</f>
        <v>0</v>
      </c>
      <c r="F67" s="124">
        <f>0</f>
        <v>0</v>
      </c>
      <c r="G67" s="123">
        <f>0</f>
        <v>0</v>
      </c>
      <c r="H67" s="18"/>
      <c r="I67" s="18"/>
      <c r="J67" s="34"/>
      <c r="K67" s="34"/>
      <c r="L67" s="52"/>
      <c r="M67" s="52"/>
    </row>
    <row r="68" spans="2:13" outlineLevel="1" x14ac:dyDescent="0.2">
      <c r="B68" s="34"/>
      <c r="C68" s="34"/>
      <c r="D68" s="34"/>
      <c r="E68" s="34"/>
      <c r="F68" s="34"/>
      <c r="G68" s="34"/>
      <c r="H68" s="18"/>
      <c r="I68" s="18"/>
      <c r="J68" s="34"/>
      <c r="K68" s="34"/>
      <c r="L68" s="52"/>
      <c r="M68" s="52"/>
    </row>
    <row r="69" spans="2:13" outlineLevel="1" x14ac:dyDescent="0.2">
      <c r="B69" s="149" t="s">
        <v>109</v>
      </c>
      <c r="C69" s="150" t="s">
        <v>101</v>
      </c>
      <c r="D69" s="150"/>
      <c r="E69" s="150" t="s">
        <v>102</v>
      </c>
      <c r="F69" s="150"/>
      <c r="G69" s="120" t="s">
        <v>106</v>
      </c>
      <c r="H69" s="18"/>
      <c r="I69" s="18"/>
      <c r="J69" s="34"/>
      <c r="K69" s="34"/>
      <c r="L69" s="52"/>
      <c r="M69" s="52"/>
    </row>
    <row r="70" spans="2:13" outlineLevel="1" x14ac:dyDescent="0.2">
      <c r="B70" s="149"/>
      <c r="C70" s="121" t="s">
        <v>103</v>
      </c>
      <c r="D70" s="121" t="s">
        <v>104</v>
      </c>
      <c r="E70" s="121" t="s">
        <v>103</v>
      </c>
      <c r="F70" s="121" t="s">
        <v>104</v>
      </c>
      <c r="G70" s="121" t="s">
        <v>103</v>
      </c>
      <c r="H70" s="18"/>
      <c r="I70" s="18"/>
      <c r="J70" s="34"/>
      <c r="K70" s="34"/>
      <c r="L70" s="52"/>
      <c r="M70" s="52"/>
    </row>
    <row r="71" spans="2:13" outlineLevel="1" x14ac:dyDescent="0.2">
      <c r="B71" s="122" t="s">
        <v>107</v>
      </c>
      <c r="C71" s="123">
        <f>16</f>
        <v>16</v>
      </c>
      <c r="D71" s="124">
        <f>4445351911.47</f>
        <v>4445351911.4700003</v>
      </c>
      <c r="E71" s="123">
        <f>0</f>
        <v>0</v>
      </c>
      <c r="F71" s="124">
        <f>0</f>
        <v>0</v>
      </c>
      <c r="G71" s="123">
        <f>0</f>
        <v>0</v>
      </c>
      <c r="H71" s="18"/>
      <c r="I71" s="18"/>
      <c r="J71" s="34"/>
      <c r="K71" s="34"/>
      <c r="L71" s="52"/>
      <c r="M71" s="52"/>
    </row>
    <row r="72" spans="2:13" outlineLevel="1" x14ac:dyDescent="0.2">
      <c r="B72" s="122" t="s">
        <v>108</v>
      </c>
      <c r="C72" s="123">
        <f>16</f>
        <v>16</v>
      </c>
      <c r="D72" s="124">
        <f>3883950855.63</f>
        <v>3883950855.6300001</v>
      </c>
      <c r="E72" s="123">
        <f>0</f>
        <v>0</v>
      </c>
      <c r="F72" s="124">
        <f>0</f>
        <v>0</v>
      </c>
      <c r="G72" s="123">
        <f>0</f>
        <v>0</v>
      </c>
      <c r="H72" s="18"/>
      <c r="I72" s="18"/>
      <c r="J72" s="34"/>
      <c r="K72" s="34"/>
      <c r="L72" s="52"/>
      <c r="M72" s="52"/>
    </row>
    <row r="73" spans="2:13" ht="13.5" customHeight="1" outlineLevel="1" x14ac:dyDescent="0.2">
      <c r="B73" s="53"/>
      <c r="C73" s="54"/>
      <c r="D73" s="54"/>
      <c r="E73" s="54"/>
      <c r="F73" s="18"/>
      <c r="G73" s="18"/>
      <c r="H73" s="18"/>
      <c r="I73" s="18"/>
      <c r="J73" s="34"/>
      <c r="K73" s="34"/>
      <c r="L73" s="52"/>
      <c r="M73" s="52"/>
    </row>
    <row r="74" spans="2:13" ht="13.5" customHeight="1" x14ac:dyDescent="0.2">
      <c r="B74" s="53"/>
      <c r="C74" s="54"/>
      <c r="D74" s="54"/>
      <c r="E74" s="54"/>
      <c r="F74" s="18"/>
      <c r="G74" s="18"/>
      <c r="H74" s="18"/>
      <c r="I74" s="18"/>
      <c r="J74" s="34"/>
      <c r="K74" s="34"/>
      <c r="L74" s="52"/>
      <c r="M74" s="52"/>
    </row>
    <row r="75" spans="2:13" ht="12" customHeight="1" x14ac:dyDescent="0.2">
      <c r="B75" s="115" t="s">
        <v>88</v>
      </c>
      <c r="C75" s="54"/>
      <c r="D75" s="54"/>
      <c r="E75" s="54"/>
      <c r="F75" s="18"/>
      <c r="G75" s="18"/>
      <c r="H75" s="18"/>
      <c r="I75" s="18"/>
      <c r="J75" s="34"/>
      <c r="K75" s="34"/>
      <c r="L75" s="52"/>
      <c r="M75" s="52"/>
    </row>
    <row r="76" spans="2:13" ht="27" customHeight="1" x14ac:dyDescent="0.2">
      <c r="B76" s="116" t="s">
        <v>62</v>
      </c>
      <c r="C76" s="114">
        <f>13289987033.49</f>
        <v>13289987033.49</v>
      </c>
      <c r="D76" s="114">
        <f>1414173379.07</f>
        <v>1414173379.0699999</v>
      </c>
      <c r="E76" s="23">
        <f>8892254908.63001</f>
        <v>8892254908.6300106</v>
      </c>
      <c r="F76" s="23">
        <f>141968507.05</f>
        <v>141968507.05000001</v>
      </c>
      <c r="G76" s="23">
        <f>0</f>
        <v>0</v>
      </c>
      <c r="H76" s="23">
        <f>0</f>
        <v>0</v>
      </c>
      <c r="I76" s="86">
        <f>0</f>
        <v>0</v>
      </c>
      <c r="J76" s="32">
        <f>IF($D$76=0,"",100*$D76/$D$76)</f>
        <v>100</v>
      </c>
      <c r="K76" s="32">
        <f>IF(C76=0,"",100*D76/C76)</f>
        <v>10.640893595353891</v>
      </c>
      <c r="L76" s="52"/>
    </row>
    <row r="77" spans="2:13" ht="12.75" customHeight="1" x14ac:dyDescent="0.2">
      <c r="B77" s="100" t="s">
        <v>51</v>
      </c>
      <c r="C77" s="62">
        <f>8403267824.29</f>
        <v>8403267824.29</v>
      </c>
      <c r="D77" s="62">
        <f>619391239.35</f>
        <v>619391239.35000002</v>
      </c>
      <c r="E77" s="62">
        <f>6187758576.7</f>
        <v>6187758576.6999998</v>
      </c>
      <c r="F77" s="62">
        <f>112726075.9</f>
        <v>112726075.90000001</v>
      </c>
      <c r="G77" s="62">
        <f>0</f>
        <v>0</v>
      </c>
      <c r="H77" s="62">
        <f>0</f>
        <v>0</v>
      </c>
      <c r="I77" s="69">
        <f>0</f>
        <v>0</v>
      </c>
      <c r="J77" s="32">
        <f>IF($D$76=0,"",100*$D77/$D$76)</f>
        <v>43.798819049848689</v>
      </c>
      <c r="K77" s="32">
        <f>IF(C77=0,"",100*D77/C77)</f>
        <v>7.3708377776514933</v>
      </c>
      <c r="L77" s="34"/>
    </row>
    <row r="78" spans="2:13" ht="12.75" customHeight="1" x14ac:dyDescent="0.2">
      <c r="B78" s="100" t="s">
        <v>52</v>
      </c>
      <c r="C78" s="62">
        <f t="shared" ref="C78:I78" si="6">C76-C77</f>
        <v>4886719209.1999998</v>
      </c>
      <c r="D78" s="62">
        <f t="shared" si="6"/>
        <v>794782139.71999991</v>
      </c>
      <c r="E78" s="62">
        <f t="shared" si="6"/>
        <v>2704496331.9300108</v>
      </c>
      <c r="F78" s="62">
        <f t="shared" si="6"/>
        <v>29242431.150000006</v>
      </c>
      <c r="G78" s="62">
        <f t="shared" si="6"/>
        <v>0</v>
      </c>
      <c r="H78" s="62">
        <f t="shared" si="6"/>
        <v>0</v>
      </c>
      <c r="I78" s="71">
        <f t="shared" si="6"/>
        <v>0</v>
      </c>
      <c r="J78" s="32">
        <f>IF($D$76=0,"",100*$D78/$D$76)</f>
        <v>56.201180950151311</v>
      </c>
      <c r="K78" s="32">
        <f>IF(C78=0,"",100*D78/C78)</f>
        <v>16.264125391606303</v>
      </c>
      <c r="L78" s="34"/>
    </row>
    <row r="79" spans="2:13" ht="18" customHeight="1" x14ac:dyDescent="0.2">
      <c r="B79" s="99" t="str">
        <f>CONCATENATE("Informacja z wykonania budżetów województw za ",$D$115," ",$C$116," rok    ",$C$118,"")</f>
        <v xml:space="preserve">Informacja z wykonania budżetów województw za I Kwartał 2026 rok    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2:13" ht="6" customHeight="1" x14ac:dyDescent="0.2"/>
    <row r="81" spans="2:11" x14ac:dyDescent="0.2">
      <c r="B81" s="37" t="s">
        <v>16</v>
      </c>
      <c r="C81" s="70" t="s">
        <v>17</v>
      </c>
      <c r="D81" s="70" t="s">
        <v>1</v>
      </c>
      <c r="E81" s="138" t="s">
        <v>78</v>
      </c>
      <c r="F81" s="139"/>
      <c r="G81" s="139"/>
      <c r="H81" s="139"/>
      <c r="I81" s="140"/>
      <c r="J81" s="16" t="s">
        <v>21</v>
      </c>
      <c r="K81" s="16" t="s">
        <v>22</v>
      </c>
    </row>
    <row r="82" spans="2:11" x14ac:dyDescent="0.2">
      <c r="B82" s="37"/>
      <c r="C82" s="136" t="s">
        <v>53</v>
      </c>
      <c r="D82" s="137"/>
      <c r="E82" s="141"/>
      <c r="F82" s="142"/>
      <c r="G82" s="142"/>
      <c r="H82" s="142"/>
      <c r="I82" s="143"/>
      <c r="J82" s="147" t="s">
        <v>4</v>
      </c>
      <c r="K82" s="148"/>
    </row>
    <row r="83" spans="2:11" x14ac:dyDescent="0.2">
      <c r="B83" s="35">
        <v>1</v>
      </c>
      <c r="C83" s="89">
        <v>2</v>
      </c>
      <c r="D83" s="89">
        <v>3</v>
      </c>
      <c r="E83" s="144"/>
      <c r="F83" s="145"/>
      <c r="G83" s="145"/>
      <c r="H83" s="145"/>
      <c r="I83" s="146"/>
      <c r="J83" s="36">
        <v>4</v>
      </c>
      <c r="K83" s="36">
        <v>5</v>
      </c>
    </row>
    <row r="84" spans="2:11" ht="27" customHeight="1" x14ac:dyDescent="0.2">
      <c r="B84" s="90" t="s">
        <v>39</v>
      </c>
      <c r="C84" s="39">
        <f>11280968667.03</f>
        <v>11280968667.030001</v>
      </c>
      <c r="D84" s="39">
        <f>6491979816.37</f>
        <v>6491979816.3699999</v>
      </c>
      <c r="E84" s="107" t="s">
        <v>78</v>
      </c>
      <c r="F84" s="107" t="s">
        <v>78</v>
      </c>
      <c r="G84" s="107" t="s">
        <v>78</v>
      </c>
      <c r="H84" s="107" t="s">
        <v>78</v>
      </c>
      <c r="I84" s="107" t="s">
        <v>78</v>
      </c>
      <c r="J84" s="38">
        <f>IF($D$84=0,"",100*$D84/$D$84)</f>
        <v>100</v>
      </c>
      <c r="K84" s="31">
        <f t="shared" ref="K84:K98" si="7">IF(C84=0,"",100*D84/C84)</f>
        <v>57.548070631058472</v>
      </c>
    </row>
    <row r="85" spans="2:11" ht="33.75" x14ac:dyDescent="0.2">
      <c r="B85" s="104" t="s">
        <v>93</v>
      </c>
      <c r="C85" s="40">
        <f>6514830706.18</f>
        <v>6514830706.1800003</v>
      </c>
      <c r="D85" s="40">
        <f>30000000</f>
        <v>30000000</v>
      </c>
      <c r="E85" s="108" t="s">
        <v>78</v>
      </c>
      <c r="F85" s="108" t="s">
        <v>78</v>
      </c>
      <c r="G85" s="108" t="s">
        <v>78</v>
      </c>
      <c r="H85" s="108" t="s">
        <v>78</v>
      </c>
      <c r="I85" s="108" t="s">
        <v>78</v>
      </c>
      <c r="J85" s="45">
        <f t="shared" ref="J85:J94" si="8">IF($D$84=0,"",100*$D85/$D$84)</f>
        <v>0.46210864556837983</v>
      </c>
      <c r="K85" s="46">
        <f t="shared" si="7"/>
        <v>0.46048779090363551</v>
      </c>
    </row>
    <row r="86" spans="2:11" ht="22.5" x14ac:dyDescent="0.2">
      <c r="B86" s="105" t="s">
        <v>63</v>
      </c>
      <c r="C86" s="64">
        <f>400000000</f>
        <v>400000000</v>
      </c>
      <c r="D86" s="64">
        <f>0</f>
        <v>0</v>
      </c>
      <c r="E86" s="108" t="s">
        <v>78</v>
      </c>
      <c r="F86" s="108" t="s">
        <v>78</v>
      </c>
      <c r="G86" s="108" t="s">
        <v>78</v>
      </c>
      <c r="H86" s="108" t="s">
        <v>78</v>
      </c>
      <c r="I86" s="108" t="s">
        <v>78</v>
      </c>
      <c r="J86" s="65">
        <f t="shared" si="8"/>
        <v>0</v>
      </c>
      <c r="K86" s="66">
        <f t="shared" si="7"/>
        <v>0</v>
      </c>
    </row>
    <row r="87" spans="2:11" ht="12.75" customHeight="1" x14ac:dyDescent="0.2">
      <c r="B87" s="63" t="s">
        <v>64</v>
      </c>
      <c r="C87" s="64">
        <f>132135648.67</f>
        <v>132135648.67</v>
      </c>
      <c r="D87" s="64">
        <f>4502693.42</f>
        <v>4502693.42</v>
      </c>
      <c r="E87" s="108" t="s">
        <v>78</v>
      </c>
      <c r="F87" s="108" t="s">
        <v>78</v>
      </c>
      <c r="G87" s="108" t="s">
        <v>78</v>
      </c>
      <c r="H87" s="108" t="s">
        <v>78</v>
      </c>
      <c r="I87" s="108" t="s">
        <v>78</v>
      </c>
      <c r="J87" s="65">
        <f t="shared" si="8"/>
        <v>6.9357785257528531E-2</v>
      </c>
      <c r="K87" s="66">
        <f t="shared" si="7"/>
        <v>3.4076295574445452</v>
      </c>
    </row>
    <row r="88" spans="2:11" ht="46.5" customHeight="1" x14ac:dyDescent="0.2">
      <c r="B88" s="63" t="s">
        <v>72</v>
      </c>
      <c r="C88" s="64">
        <f>2033913860.69</f>
        <v>2033913860.6900001</v>
      </c>
      <c r="D88" s="64">
        <f>3383306189.29</f>
        <v>3383306189.29</v>
      </c>
      <c r="E88" s="108" t="s">
        <v>78</v>
      </c>
      <c r="F88" s="108" t="s">
        <v>78</v>
      </c>
      <c r="G88" s="108" t="s">
        <v>78</v>
      </c>
      <c r="H88" s="108" t="s">
        <v>78</v>
      </c>
      <c r="I88" s="108" t="s">
        <v>78</v>
      </c>
      <c r="J88" s="65">
        <f t="shared" si="8"/>
        <v>52.115168022530618</v>
      </c>
      <c r="K88" s="66">
        <f t="shared" si="7"/>
        <v>166.34461540776471</v>
      </c>
    </row>
    <row r="89" spans="2:11" ht="35.25" customHeight="1" x14ac:dyDescent="0.2">
      <c r="B89" s="63" t="s">
        <v>73</v>
      </c>
      <c r="C89" s="64">
        <f>500617176.46</f>
        <v>500617176.45999998</v>
      </c>
      <c r="D89" s="64">
        <f>779927232.93</f>
        <v>779927232.92999995</v>
      </c>
      <c r="E89" s="108" t="s">
        <v>78</v>
      </c>
      <c r="F89" s="108" t="s">
        <v>78</v>
      </c>
      <c r="G89" s="108" t="s">
        <v>78</v>
      </c>
      <c r="H89" s="108" t="s">
        <v>78</v>
      </c>
      <c r="I89" s="108" t="s">
        <v>78</v>
      </c>
      <c r="J89" s="65">
        <f t="shared" si="8"/>
        <v>12.013703908372554</v>
      </c>
      <c r="K89" s="66">
        <f t="shared" si="7"/>
        <v>155.79314286518837</v>
      </c>
    </row>
    <row r="90" spans="2:11" ht="12.75" customHeight="1" x14ac:dyDescent="0.2">
      <c r="B90" s="63" t="s">
        <v>65</v>
      </c>
      <c r="C90" s="64">
        <f>0</f>
        <v>0</v>
      </c>
      <c r="D90" s="64">
        <f>0</f>
        <v>0</v>
      </c>
      <c r="E90" s="108" t="s">
        <v>78</v>
      </c>
      <c r="F90" s="108" t="s">
        <v>78</v>
      </c>
      <c r="G90" s="108" t="s">
        <v>78</v>
      </c>
      <c r="H90" s="108" t="s">
        <v>78</v>
      </c>
      <c r="I90" s="108" t="s">
        <v>78</v>
      </c>
      <c r="J90" s="65">
        <f t="shared" si="8"/>
        <v>0</v>
      </c>
      <c r="K90" s="66" t="str">
        <f t="shared" si="7"/>
        <v/>
      </c>
    </row>
    <row r="91" spans="2:11" ht="33.75" x14ac:dyDescent="0.2">
      <c r="B91" s="63" t="s">
        <v>68</v>
      </c>
      <c r="C91" s="64">
        <f>1652965935.16</f>
        <v>1652965935.1600001</v>
      </c>
      <c r="D91" s="64">
        <f>2246238360.86</f>
        <v>2246238360.8600001</v>
      </c>
      <c r="E91" s="108" t="s">
        <v>78</v>
      </c>
      <c r="F91" s="108" t="s">
        <v>78</v>
      </c>
      <c r="G91" s="108" t="s">
        <v>78</v>
      </c>
      <c r="H91" s="108" t="s">
        <v>78</v>
      </c>
      <c r="I91" s="108" t="s">
        <v>78</v>
      </c>
      <c r="J91" s="65">
        <f t="shared" si="8"/>
        <v>34.600205552025074</v>
      </c>
      <c r="K91" s="66">
        <f t="shared" si="7"/>
        <v>135.89138850841314</v>
      </c>
    </row>
    <row r="92" spans="2:11" ht="56.25" x14ac:dyDescent="0.2">
      <c r="B92" s="63" t="s">
        <v>94</v>
      </c>
      <c r="C92" s="64">
        <f>0</f>
        <v>0</v>
      </c>
      <c r="D92" s="64">
        <f>0</f>
        <v>0</v>
      </c>
      <c r="E92" s="108" t="s">
        <v>78</v>
      </c>
      <c r="F92" s="108" t="s">
        <v>78</v>
      </c>
      <c r="G92" s="108" t="s">
        <v>78</v>
      </c>
      <c r="H92" s="108" t="s">
        <v>78</v>
      </c>
      <c r="I92" s="108" t="s">
        <v>78</v>
      </c>
      <c r="J92" s="65">
        <f t="shared" si="8"/>
        <v>0</v>
      </c>
      <c r="K92" s="66" t="str">
        <f>IF(C92=0,"",100*D92/C92)</f>
        <v/>
      </c>
    </row>
    <row r="93" spans="2:11" x14ac:dyDescent="0.2">
      <c r="B93" s="63" t="s">
        <v>89</v>
      </c>
      <c r="C93" s="64">
        <f>446505339.87</f>
        <v>446505339.87</v>
      </c>
      <c r="D93" s="64">
        <f>48005339.87</f>
        <v>48005339.869999997</v>
      </c>
      <c r="E93" s="108" t="s">
        <v>78</v>
      </c>
      <c r="F93" s="108" t="s">
        <v>78</v>
      </c>
      <c r="G93" s="108" t="s">
        <v>78</v>
      </c>
      <c r="H93" s="108" t="s">
        <v>78</v>
      </c>
      <c r="I93" s="108" t="s">
        <v>78</v>
      </c>
      <c r="J93" s="65">
        <f t="shared" si="8"/>
        <v>0.73945608624584813</v>
      </c>
      <c r="K93" s="66">
        <f>IF(C93=0,"",100*D93/C93)</f>
        <v>10.751347315124328</v>
      </c>
    </row>
    <row r="94" spans="2:11" ht="22.5" x14ac:dyDescent="0.2">
      <c r="B94" s="105" t="s">
        <v>90</v>
      </c>
      <c r="C94" s="64">
        <f>446505339.87</f>
        <v>446505339.87</v>
      </c>
      <c r="D94" s="64">
        <f>48005339.87</f>
        <v>48005339.869999997</v>
      </c>
      <c r="E94" s="108" t="s">
        <v>78</v>
      </c>
      <c r="F94" s="108" t="s">
        <v>78</v>
      </c>
      <c r="G94" s="108" t="s">
        <v>78</v>
      </c>
      <c r="H94" s="108" t="s">
        <v>78</v>
      </c>
      <c r="I94" s="108" t="s">
        <v>78</v>
      </c>
      <c r="J94" s="65">
        <f t="shared" si="8"/>
        <v>0.73945608624584813</v>
      </c>
      <c r="K94" s="66">
        <f>IF(C94=0,"",100*D94/C94)</f>
        <v>10.751347315124328</v>
      </c>
    </row>
    <row r="95" spans="2:11" ht="27" customHeight="1" x14ac:dyDescent="0.2">
      <c r="B95" s="90" t="s">
        <v>40</v>
      </c>
      <c r="C95" s="43">
        <f>873246270.5</f>
        <v>873246270.5</v>
      </c>
      <c r="D95" s="43">
        <f>905580664.39</f>
        <v>905580664.38999999</v>
      </c>
      <c r="E95" s="107" t="s">
        <v>78</v>
      </c>
      <c r="F95" s="107" t="s">
        <v>78</v>
      </c>
      <c r="G95" s="107" t="s">
        <v>78</v>
      </c>
      <c r="H95" s="107" t="s">
        <v>78</v>
      </c>
      <c r="I95" s="107" t="s">
        <v>78</v>
      </c>
      <c r="J95" s="38">
        <f t="shared" ref="J95:J100" si="9">IF($D$95=0,"",100*$D95/$D$95)</f>
        <v>100</v>
      </c>
      <c r="K95" s="31">
        <f t="shared" si="7"/>
        <v>103.70278064531396</v>
      </c>
    </row>
    <row r="96" spans="2:11" ht="24.75" customHeight="1" x14ac:dyDescent="0.2">
      <c r="B96" s="104" t="s">
        <v>66</v>
      </c>
      <c r="C96" s="40">
        <f>727552743.97</f>
        <v>727552743.97000003</v>
      </c>
      <c r="D96" s="42">
        <f>176603087.13</f>
        <v>176603087.13</v>
      </c>
      <c r="E96" s="108" t="s">
        <v>78</v>
      </c>
      <c r="F96" s="108" t="s">
        <v>78</v>
      </c>
      <c r="G96" s="108" t="s">
        <v>78</v>
      </c>
      <c r="H96" s="108" t="s">
        <v>78</v>
      </c>
      <c r="I96" s="108" t="s">
        <v>78</v>
      </c>
      <c r="J96" s="45">
        <f t="shared" si="9"/>
        <v>19.501640668196025</v>
      </c>
      <c r="K96" s="46">
        <f t="shared" si="7"/>
        <v>24.273578595324775</v>
      </c>
    </row>
    <row r="97" spans="2:11" ht="12.75" customHeight="1" x14ac:dyDescent="0.2">
      <c r="B97" s="105" t="s">
        <v>67</v>
      </c>
      <c r="C97" s="64">
        <f>139000000</f>
        <v>139000000</v>
      </c>
      <c r="D97" s="64">
        <f>0</f>
        <v>0</v>
      </c>
      <c r="E97" s="108" t="s">
        <v>78</v>
      </c>
      <c r="F97" s="108" t="s">
        <v>78</v>
      </c>
      <c r="G97" s="108" t="s">
        <v>78</v>
      </c>
      <c r="H97" s="108" t="s">
        <v>78</v>
      </c>
      <c r="I97" s="108" t="s">
        <v>78</v>
      </c>
      <c r="J97" s="65">
        <f t="shared" si="9"/>
        <v>0</v>
      </c>
      <c r="K97" s="66">
        <f t="shared" si="7"/>
        <v>0</v>
      </c>
    </row>
    <row r="98" spans="2:11" ht="12.75" customHeight="1" x14ac:dyDescent="0.2">
      <c r="B98" s="63" t="s">
        <v>74</v>
      </c>
      <c r="C98" s="64">
        <f>145693526.53</f>
        <v>145693526.53</v>
      </c>
      <c r="D98" s="64">
        <f>18917118.33</f>
        <v>18917118.329999998</v>
      </c>
      <c r="E98" s="108" t="s">
        <v>78</v>
      </c>
      <c r="F98" s="108" t="s">
        <v>78</v>
      </c>
      <c r="G98" s="108" t="s">
        <v>78</v>
      </c>
      <c r="H98" s="108" t="s">
        <v>78</v>
      </c>
      <c r="I98" s="108" t="s">
        <v>78</v>
      </c>
      <c r="J98" s="65">
        <f t="shared" si="9"/>
        <v>2.0889490107148641</v>
      </c>
      <c r="K98" s="66">
        <f t="shared" si="7"/>
        <v>12.984185900740581</v>
      </c>
    </row>
    <row r="99" spans="2:11" ht="12.75" customHeight="1" x14ac:dyDescent="0.2">
      <c r="B99" s="63" t="s">
        <v>91</v>
      </c>
      <c r="C99" s="64">
        <f>0</f>
        <v>0</v>
      </c>
      <c r="D99" s="64">
        <f>710060458.93</f>
        <v>710060458.92999995</v>
      </c>
      <c r="E99" s="108" t="s">
        <v>78</v>
      </c>
      <c r="F99" s="108" t="s">
        <v>78</v>
      </c>
      <c r="G99" s="108" t="s">
        <v>78</v>
      </c>
      <c r="H99" s="108" t="s">
        <v>78</v>
      </c>
      <c r="I99" s="108" t="s">
        <v>78</v>
      </c>
      <c r="J99" s="65">
        <f t="shared" si="9"/>
        <v>78.409410321089112</v>
      </c>
      <c r="K99" s="66" t="str">
        <f>IF(C99=0,"",100*D99/C99)</f>
        <v/>
      </c>
    </row>
    <row r="100" spans="2:11" ht="22.5" x14ac:dyDescent="0.2">
      <c r="B100" s="105" t="s">
        <v>92</v>
      </c>
      <c r="C100" s="64">
        <f>0</f>
        <v>0</v>
      </c>
      <c r="D100" s="64">
        <f>0</f>
        <v>0</v>
      </c>
      <c r="E100" s="108" t="s">
        <v>78</v>
      </c>
      <c r="F100" s="108" t="s">
        <v>78</v>
      </c>
      <c r="G100" s="108" t="s">
        <v>78</v>
      </c>
      <c r="H100" s="108" t="s">
        <v>78</v>
      </c>
      <c r="I100" s="108" t="s">
        <v>78</v>
      </c>
      <c r="J100" s="65">
        <f t="shared" si="9"/>
        <v>0</v>
      </c>
      <c r="K100" s="66" t="str">
        <f>IF(C100=0,"",100*D100/C100)</f>
        <v/>
      </c>
    </row>
    <row r="102" spans="2:11" x14ac:dyDescent="0.2">
      <c r="B102" s="37" t="s">
        <v>16</v>
      </c>
      <c r="C102" s="70" t="s">
        <v>17</v>
      </c>
      <c r="D102" s="16" t="s">
        <v>1</v>
      </c>
    </row>
    <row r="103" spans="2:11" x14ac:dyDescent="0.2">
      <c r="B103" s="37"/>
      <c r="C103" s="136" t="s">
        <v>53</v>
      </c>
      <c r="D103" s="137"/>
    </row>
    <row r="104" spans="2:11" x14ac:dyDescent="0.2">
      <c r="B104" s="35">
        <v>1</v>
      </c>
      <c r="C104" s="89">
        <v>2</v>
      </c>
      <c r="D104" s="36">
        <v>3</v>
      </c>
    </row>
    <row r="105" spans="2:11" ht="36" customHeight="1" x14ac:dyDescent="0.2">
      <c r="B105" s="44" t="s">
        <v>95</v>
      </c>
      <c r="C105" s="41">
        <f>10222918310.53</f>
        <v>10222918310.530001</v>
      </c>
      <c r="D105" s="24">
        <f>0</f>
        <v>0</v>
      </c>
    </row>
    <row r="106" spans="2:11" ht="33.75" x14ac:dyDescent="0.2">
      <c r="B106" s="106" t="s">
        <v>55</v>
      </c>
      <c r="C106" s="64">
        <f>129905549</f>
        <v>129905549</v>
      </c>
      <c r="D106" s="57">
        <f>0</f>
        <v>0</v>
      </c>
    </row>
    <row r="107" spans="2:11" ht="12.75" customHeight="1" x14ac:dyDescent="0.2">
      <c r="B107" s="106" t="s">
        <v>56</v>
      </c>
      <c r="C107" s="64">
        <f>6048863802.18</f>
        <v>6048863802.1800003</v>
      </c>
      <c r="D107" s="57">
        <f>0</f>
        <v>0</v>
      </c>
    </row>
    <row r="108" spans="2:11" ht="22.5" x14ac:dyDescent="0.2">
      <c r="B108" s="106" t="s">
        <v>57</v>
      </c>
      <c r="C108" s="64">
        <f>0</f>
        <v>0</v>
      </c>
      <c r="D108" s="57">
        <f>0</f>
        <v>0</v>
      </c>
    </row>
    <row r="109" spans="2:11" ht="56.25" x14ac:dyDescent="0.2">
      <c r="B109" s="106" t="s">
        <v>75</v>
      </c>
      <c r="C109" s="64">
        <f>1635677837.64</f>
        <v>1635677837.6400001</v>
      </c>
      <c r="D109" s="57">
        <f>0</f>
        <v>0</v>
      </c>
    </row>
    <row r="110" spans="2:11" ht="81" customHeight="1" x14ac:dyDescent="0.2">
      <c r="B110" s="106" t="s">
        <v>58</v>
      </c>
      <c r="C110" s="64">
        <f>1447429600.03</f>
        <v>1447429600.03</v>
      </c>
      <c r="D110" s="57">
        <f>0</f>
        <v>0</v>
      </c>
    </row>
    <row r="111" spans="2:11" ht="151.5" customHeight="1" x14ac:dyDescent="0.2">
      <c r="B111" s="106" t="s">
        <v>76</v>
      </c>
      <c r="C111" s="64">
        <f>491602307.14</f>
        <v>491602307.13999999</v>
      </c>
      <c r="D111" s="57">
        <f>0</f>
        <v>0</v>
      </c>
    </row>
    <row r="112" spans="2:11" ht="23.25" customHeight="1" x14ac:dyDescent="0.2">
      <c r="B112" s="106" t="s">
        <v>77</v>
      </c>
      <c r="C112" s="64">
        <f>22933874.67</f>
        <v>22933874.670000002</v>
      </c>
      <c r="D112" s="57">
        <f>0</f>
        <v>0</v>
      </c>
    </row>
    <row r="113" spans="2:4" ht="23.25" customHeight="1" x14ac:dyDescent="0.2">
      <c r="B113" s="119" t="s">
        <v>90</v>
      </c>
      <c r="C113" s="64">
        <f>446505339.87</f>
        <v>446505339.87</v>
      </c>
      <c r="D113" s="57">
        <f>0</f>
        <v>0</v>
      </c>
    </row>
    <row r="115" spans="2:4" x14ac:dyDescent="0.2">
      <c r="B115" s="33" t="s">
        <v>41</v>
      </c>
      <c r="C115" s="33">
        <f>1</f>
        <v>1</v>
      </c>
      <c r="D115" s="33" t="str">
        <f>IF(C115=1,"I Kwartał",IF(C115=2,"II Kwartały",IF(C115=3,"III Kwartały",IF(C115=4,"IV Kwartały",IF(C115="M1","Styczeń",IF(C115="M11","Listopad",IF(C115="M12","Grudzień","-")))))))</f>
        <v>I Kwartał</v>
      </c>
    </row>
    <row r="116" spans="2:4" x14ac:dyDescent="0.2">
      <c r="B116" s="33" t="s">
        <v>42</v>
      </c>
      <c r="C116" s="110">
        <f>2026</f>
        <v>2026</v>
      </c>
      <c r="D116" s="34"/>
    </row>
    <row r="117" spans="2:4" x14ac:dyDescent="0.2">
      <c r="B117" s="33" t="s">
        <v>43</v>
      </c>
      <c r="C117" s="133" t="str">
        <f>"May 18 2026 12:00AM"</f>
        <v>May 18 2026 12:00AM</v>
      </c>
      <c r="D117" s="134"/>
    </row>
    <row r="118" spans="2:4" hidden="1" x14ac:dyDescent="0.2">
      <c r="B118" s="33" t="s">
        <v>48</v>
      </c>
      <c r="C118" s="111" t="str">
        <f>""</f>
        <v/>
      </c>
      <c r="D118" s="34"/>
    </row>
  </sheetData>
  <mergeCells count="29">
    <mergeCell ref="B69:B70"/>
    <mergeCell ref="C69:D69"/>
    <mergeCell ref="E69:F69"/>
    <mergeCell ref="C3:D3"/>
    <mergeCell ref="I45:I47"/>
    <mergeCell ref="C48:I48"/>
    <mergeCell ref="B64:B65"/>
    <mergeCell ref="C64:D64"/>
    <mergeCell ref="E64:F64"/>
    <mergeCell ref="I61:J61"/>
    <mergeCell ref="B2:B3"/>
    <mergeCell ref="C45:C47"/>
    <mergeCell ref="B45:B48"/>
    <mergeCell ref="F46:F47"/>
    <mergeCell ref="E3:I4"/>
    <mergeCell ref="I60:J60"/>
    <mergeCell ref="J3:L3"/>
    <mergeCell ref="E45:E47"/>
    <mergeCell ref="J48:K48"/>
    <mergeCell ref="K45:K47"/>
    <mergeCell ref="C117:D117"/>
    <mergeCell ref="F45:H45"/>
    <mergeCell ref="G46:H46"/>
    <mergeCell ref="C82:D82"/>
    <mergeCell ref="J45:J47"/>
    <mergeCell ref="D45:D47"/>
    <mergeCell ref="C103:D103"/>
    <mergeCell ref="E81:I83"/>
    <mergeCell ref="J82:K8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2" max="16383" man="1"/>
    <brk id="7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2025-02-07T10:35:46Z</cp:lastPrinted>
  <dcterms:created xsi:type="dcterms:W3CDTF">2001-05-17T08:58:03Z</dcterms:created>
  <dcterms:modified xsi:type="dcterms:W3CDTF">2026-05-29T11:57:23Z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