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'doch_wyd'!$B$1:$L$107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<sst xmlns="http://schemas.openxmlformats.org/spreadsheetml/2006/main" count="130" uniqueCount="98">
  <si>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</si>
  <si>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</si>
  <si>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</si>
  <si>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</si>
  <si>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</si>
  <si>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</si>
  <si>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</si>
  <si>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</si>
  <si>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</si>
  <si>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</si>
  <si>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</si>
  <si>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</si>
  <si>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</si>
  <si>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</si>
  <si>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</si>
  <si>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</si>
  <si>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</si>
  <si>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</si>
  <si>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</si>
  <si>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</si>
  <si>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</si>
  <si>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</si>
  <si>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</si>
  <si>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</si>
  <si>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</si>
  <si>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kredyty i pożyczki w tym:</t>
  </si>
  <si>
    <t>nadwyżka z lat ubiegłych w tym:</t>
  </si>
  <si>
    <t>papiery wartościowe w tym:</t>
  </si>
  <si>
    <t>spłata pożyczek udzielonych</t>
  </si>
  <si>
    <t>prywatyzacja majątku jst</t>
  </si>
  <si>
    <t>spłaty kredytów i pożyczek w tym:</t>
  </si>
  <si>
    <t>pożyczki (udzielone)</t>
  </si>
  <si>
    <t>wykup papierów wartościowych w tym: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</si>
  <si>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</si>
  <si>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</si>
  <si>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</si>
  <si>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</si>
  <si>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</si>
  <si>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</si>
  <si>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</si>
  <si>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</si>
  <si>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</si>
  <si>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</si>
  <si>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</si>
  <si>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</si>
  <si>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</si>
  <si>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</si>
  <si>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</si>
  <si>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</si>
  <si>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</si>
  <si>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</si>
  <si>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</si>
  <si>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</si>
  <si>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</si>
  <si>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</si>
  <si>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</si>
  <si>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</si>
  <si>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</si>
  <si>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</si>
  <si>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</si>
  <si>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</si>
  <si>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</si>
  <si>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</si>
  <si>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</si>
  <si>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</si>
  <si>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</si>
  <si>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na realizację programów i projektów realizowanych z udziałem środków, o których mowa w art. 5 ust 1 pkt 2 ustawy o finansach publicznych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</si>
  <si>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</si>
  <si>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</si>
  <si>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</si>
  <si>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</si>
  <si>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</si>
  <si>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</si>
  <si>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</si>
  <si>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na pokrycie deficytu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</si>
  <si>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</si>
  <si>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</si>
  <si>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</si>
  <si>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</si>
  <si>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</si>
  <si>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</si>
  <si>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</si>
  <si>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</si>
  <si>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</si>
  <si>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</si>
  <si>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</si>
  <si>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</si>
  <si>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</si>
  <si>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</si>
  <si>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</si>
  <si>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Kwota wydatków bieżących ponoszonych na spłatę przejętych zobowiązań samodzielnego publicznego zakładu opieki zdrowotnej przekształconego na zasadach określonych w ustawie o działalności leczniczej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</si>
  <si>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</si>
  <si>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</si>
  <si>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</si>
  <si>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</si>
  <si>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</si>
  <si>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</si>
  <si>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 xml:space="preserve">Informacja z wykonania budżetów powiatów za I Kwartał 2018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</si>
</sst>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0" borderId="19" xfId="89" applyFont="1" applyBorder="1" applyAlignment="1">
      <alignment horizontal="left" vertical="top" wrapText="1"/>
      <protection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59" fillId="0" borderId="19" xfId="89" applyFont="1" applyFill="1" applyBorder="1" applyAlignment="1">
      <alignment horizontal="left" vertical="top" wrapText="1"/>
      <protection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6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1" t="s">
        <v>97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8" ht="57.75" customHeight="1">
      <c r="B2" s="123" t="s">
        <v>0</v>
      </c>
      <c r="C2" s="14" t="s">
        <v>36</v>
      </c>
      <c r="D2" s="14" t="s">
        <v>37</v>
      </c>
      <c r="E2" s="14" t="s">
        <v>38</v>
      </c>
      <c r="F2" s="16" t="s">
        <v>2</v>
      </c>
      <c r="G2" s="14" t="s">
        <v>18</v>
      </c>
      <c r="H2" s="14" t="s">
        <v>3</v>
      </c>
    </row>
    <row r="3" spans="2:8" ht="12.75">
      <c r="B3" s="123"/>
      <c r="C3" s="124" t="s">
        <v>72</v>
      </c>
      <c r="D3" s="124"/>
      <c r="E3" s="124"/>
      <c r="F3" s="124" t="s">
        <v>4</v>
      </c>
      <c r="G3" s="124"/>
      <c r="H3" s="124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27667306463.59</f>
        <v>27667306463.59</v>
      </c>
      <c r="D5" s="70">
        <f>7343968349.68</f>
        <v>7343968349.68</v>
      </c>
      <c r="E5" s="70">
        <f>6465195851.32</f>
        <v>6465195851.32</v>
      </c>
      <c r="F5" s="71">
        <f aca="true" t="shared" si="0" ref="F5:F33">IF($D$5=0,"",100*$D5/$D$5)</f>
        <v>100</v>
      </c>
      <c r="G5" s="71">
        <f aca="true" t="shared" si="1" ref="G5:G36">IF(C5=0,"",100*D5/C5)</f>
        <v>26.543850082929524</v>
      </c>
      <c r="H5" s="71"/>
    </row>
    <row r="6" spans="2:8" ht="25.5" customHeight="1">
      <c r="B6" s="61" t="s">
        <v>55</v>
      </c>
      <c r="C6" s="30">
        <f>C5-C11-C29</f>
        <v>9449295757.16</v>
      </c>
      <c r="D6" s="30">
        <f>D5-D11-D29</f>
        <v>2360894200.08</v>
      </c>
      <c r="E6" s="30">
        <f>E5-E11-E29</f>
        <v>2119286010.79</v>
      </c>
      <c r="F6" s="31">
        <f t="shared" si="0"/>
        <v>32.14739072483709</v>
      </c>
      <c r="G6" s="31">
        <f t="shared" si="1"/>
        <v>24.98486935696857</v>
      </c>
      <c r="H6" s="31">
        <f>IF($D$6=0,"",100*$D6/$D$6)</f>
        <v>100</v>
      </c>
    </row>
    <row r="7" spans="2:8" ht="22.5" customHeight="1">
      <c r="B7" s="62" t="s">
        <v>19</v>
      </c>
      <c r="C7" s="32">
        <f>5273194646</f>
        <v>5273194646</v>
      </c>
      <c r="D7" s="32">
        <f>1256147699</f>
        <v>1256147699</v>
      </c>
      <c r="E7" s="32">
        <f>1030344263</f>
        <v>1030344263</v>
      </c>
      <c r="F7" s="33">
        <f t="shared" si="0"/>
        <v>17.10448138103338</v>
      </c>
      <c r="G7" s="33">
        <f t="shared" si="1"/>
        <v>23.821379321790353</v>
      </c>
      <c r="H7" s="33">
        <f>IF($D$6=0,"",100*$D7/$D$6)</f>
        <v>53.20643758443029</v>
      </c>
    </row>
    <row r="8" spans="2:8" ht="22.5" customHeight="1">
      <c r="B8" s="62" t="s">
        <v>34</v>
      </c>
      <c r="C8" s="32">
        <f>174258503.66</f>
        <v>174258503.66</v>
      </c>
      <c r="D8" s="32">
        <f>53881618.64</f>
        <v>53881618.64</v>
      </c>
      <c r="E8" s="32">
        <f>50284157.5</f>
        <v>50284157.5</v>
      </c>
      <c r="F8" s="33">
        <f t="shared" si="0"/>
        <v>0.733685332975976</v>
      </c>
      <c r="G8" s="33">
        <f t="shared" si="1"/>
        <v>30.920510338554116</v>
      </c>
      <c r="H8" s="33">
        <f>IF($D$6=0,"",100*$D8/$D$6)</f>
        <v>2.2822546913866026</v>
      </c>
    </row>
    <row r="9" spans="2:8" ht="13.5" customHeight="1">
      <c r="B9" s="62" t="s">
        <v>20</v>
      </c>
      <c r="C9" s="32">
        <f>478565643.15</f>
        <v>478565643.15</v>
      </c>
      <c r="D9" s="72">
        <f>62337476.37</f>
        <v>62337476.37</v>
      </c>
      <c r="E9" s="32">
        <f>62197293.76</f>
        <v>62197293.76</v>
      </c>
      <c r="F9" s="33">
        <f t="shared" si="0"/>
        <v>0.8488255041665075</v>
      </c>
      <c r="G9" s="33">
        <f t="shared" si="1"/>
        <v>13.025898800357709</v>
      </c>
      <c r="H9" s="33">
        <f>IF($D$6=0,"",100*$D9/$D$6)</f>
        <v>2.6404180402445676</v>
      </c>
    </row>
    <row r="10" spans="2:8" ht="13.5" customHeight="1">
      <c r="B10" s="62" t="s">
        <v>21</v>
      </c>
      <c r="C10" s="32">
        <f>C6-C8-C7-C9</f>
        <v>3523276964.35</v>
      </c>
      <c r="D10" s="32">
        <f>D6-D8-D7-D9</f>
        <v>988527406.07</v>
      </c>
      <c r="E10" s="32">
        <f>E6-E8-E7-E9</f>
        <v>976460296.53</v>
      </c>
      <c r="F10" s="33">
        <f t="shared" si="0"/>
        <v>13.460398506661228</v>
      </c>
      <c r="G10" s="33">
        <f t="shared" si="1"/>
        <v>28.05704507685137</v>
      </c>
      <c r="H10" s="33">
        <f>IF($D$6=0,"",100*$D10/$D$6)</f>
        <v>41.87088968393854</v>
      </c>
    </row>
    <row r="11" spans="2:8" ht="26.25" customHeight="1">
      <c r="B11" s="69" t="s">
        <v>63</v>
      </c>
      <c r="C11" s="70">
        <f>C12+C25+C27</f>
        <v>7895143351.43</v>
      </c>
      <c r="D11" s="70">
        <f>D12+D25+D27</f>
        <v>1390879205.6000001</v>
      </c>
      <c r="E11" s="70">
        <f>E12+E25+E27</f>
        <v>1309786227.53</v>
      </c>
      <c r="F11" s="71">
        <f t="shared" si="0"/>
        <v>18.939068625760143</v>
      </c>
      <c r="G11" s="71">
        <f t="shared" si="1"/>
        <v>17.61689615614235</v>
      </c>
      <c r="H11" s="73"/>
    </row>
    <row r="12" spans="2:8" ht="25.5" customHeight="1">
      <c r="B12" s="69" t="s">
        <v>56</v>
      </c>
      <c r="C12" s="70">
        <f>C13+C15+C17+C19+C21+C23</f>
        <v>5160959539.860001</v>
      </c>
      <c r="D12" s="70">
        <f>D13+D15+D17+D19+D21+D23</f>
        <v>1135068349.19</v>
      </c>
      <c r="E12" s="70">
        <f>E13+E15+E17+E19+E21+E23</f>
        <v>1076317254.6000001</v>
      </c>
      <c r="F12" s="71">
        <f t="shared" si="0"/>
        <v>15.455790318587885</v>
      </c>
      <c r="G12" s="71">
        <f t="shared" si="1"/>
        <v>21.9933588012742</v>
      </c>
      <c r="H12" s="36"/>
    </row>
    <row r="13" spans="2:8" ht="22.5" customHeight="1">
      <c r="B13" s="62" t="s">
        <v>9</v>
      </c>
      <c r="C13" s="32">
        <f>2589630374.15</f>
        <v>2589630374.15</v>
      </c>
      <c r="D13" s="32">
        <f>771086540.05</f>
        <v>771086540.05</v>
      </c>
      <c r="E13" s="32">
        <f>712603662.44</f>
        <v>712603662.44</v>
      </c>
      <c r="F13" s="33">
        <f t="shared" si="0"/>
        <v>10.499589640573529</v>
      </c>
      <c r="G13" s="33">
        <f t="shared" si="1"/>
        <v>29.775930485951896</v>
      </c>
      <c r="H13" s="36"/>
    </row>
    <row r="14" spans="2:8" ht="12.75">
      <c r="B14" s="74" t="s">
        <v>6</v>
      </c>
      <c r="C14" s="32">
        <f>24445487</f>
        <v>24445487</v>
      </c>
      <c r="D14" s="32">
        <f>1550663.73</f>
        <v>1550663.73</v>
      </c>
      <c r="E14" s="32">
        <f>1550663.73</f>
        <v>1550663.73</v>
      </c>
      <c r="F14" s="33">
        <f t="shared" si="0"/>
        <v>0.021114793203970812</v>
      </c>
      <c r="G14" s="33">
        <f t="shared" si="1"/>
        <v>6.3433538059601755</v>
      </c>
      <c r="H14" s="36"/>
    </row>
    <row r="15" spans="2:8" ht="13.5" customHeight="1">
      <c r="B15" s="62" t="s">
        <v>7</v>
      </c>
      <c r="C15" s="32">
        <f>1269234527.91</f>
        <v>1269234527.91</v>
      </c>
      <c r="D15" s="32">
        <f>176638766.34</f>
        <v>176638766.34</v>
      </c>
      <c r="E15" s="32">
        <f>176598937.94</f>
        <v>176598937.94</v>
      </c>
      <c r="F15" s="33">
        <f t="shared" si="0"/>
        <v>2.4052223257157244</v>
      </c>
      <c r="G15" s="33">
        <f t="shared" si="1"/>
        <v>13.916952498200967</v>
      </c>
      <c r="H15" s="36"/>
    </row>
    <row r="16" spans="2:8" ht="12.75">
      <c r="B16" s="74" t="s">
        <v>6</v>
      </c>
      <c r="C16" s="32">
        <f>575557033.91</f>
        <v>575557033.91</v>
      </c>
      <c r="D16" s="32">
        <f>3290357.5</f>
        <v>3290357.5</v>
      </c>
      <c r="E16" s="32">
        <f>3285237.5</f>
        <v>3285237.5</v>
      </c>
      <c r="F16" s="33">
        <f t="shared" si="0"/>
        <v>0.044803535954010085</v>
      </c>
      <c r="G16" s="33">
        <f t="shared" si="1"/>
        <v>0.5716822671156017</v>
      </c>
      <c r="H16" s="36"/>
    </row>
    <row r="17" spans="2:8" ht="33" customHeight="1">
      <c r="B17" s="62" t="s">
        <v>10</v>
      </c>
      <c r="C17" s="32">
        <f>29339079</f>
        <v>29339079</v>
      </c>
      <c r="D17" s="32">
        <f>25306775.51</f>
        <v>25306775.51</v>
      </c>
      <c r="E17" s="32">
        <f>25280160.06</f>
        <v>25280160.06</v>
      </c>
      <c r="F17" s="33">
        <f t="shared" si="0"/>
        <v>0.34459265488395924</v>
      </c>
      <c r="G17" s="33">
        <f t="shared" si="1"/>
        <v>86.25620289580324</v>
      </c>
      <c r="H17" s="36"/>
    </row>
    <row r="18" spans="2:8" ht="12.75">
      <c r="B18" s="74" t="s">
        <v>6</v>
      </c>
      <c r="C18" s="32">
        <f>4148830</f>
        <v>4148830</v>
      </c>
      <c r="D18" s="32">
        <f>0</f>
        <v>0</v>
      </c>
      <c r="E18" s="32">
        <f>0</f>
        <v>0</v>
      </c>
      <c r="F18" s="33">
        <f t="shared" si="0"/>
        <v>0</v>
      </c>
      <c r="G18" s="33">
        <f t="shared" si="1"/>
        <v>0</v>
      </c>
      <c r="H18" s="36"/>
    </row>
    <row r="19" spans="2:8" ht="25.5" customHeight="1">
      <c r="B19" s="62" t="s">
        <v>11</v>
      </c>
      <c r="C19" s="32">
        <f>391646584.31</f>
        <v>391646584.31</v>
      </c>
      <c r="D19" s="32">
        <f>95010649.59</f>
        <v>95010649.59</v>
      </c>
      <c r="E19" s="32">
        <f>94799876.46</f>
        <v>94799876.46</v>
      </c>
      <c r="F19" s="33">
        <f t="shared" si="0"/>
        <v>1.2937235710464345</v>
      </c>
      <c r="G19" s="33">
        <f t="shared" si="1"/>
        <v>24.25928206609769</v>
      </c>
      <c r="H19" s="36"/>
    </row>
    <row r="20" spans="2:8" ht="12.75">
      <c r="B20" s="74" t="s">
        <v>6</v>
      </c>
      <c r="C20" s="32">
        <f>94115369.75</f>
        <v>94115369.75</v>
      </c>
      <c r="D20" s="32">
        <f>20583064.32</f>
        <v>20583064.32</v>
      </c>
      <c r="E20" s="32">
        <f>20583064.32</f>
        <v>20583064.32</v>
      </c>
      <c r="F20" s="33">
        <f t="shared" si="0"/>
        <v>0.28027169154258225</v>
      </c>
      <c r="G20" s="33">
        <f t="shared" si="1"/>
        <v>21.870035016251954</v>
      </c>
      <c r="H20" s="36"/>
    </row>
    <row r="21" spans="2:8" ht="33.75">
      <c r="B21" s="62" t="s">
        <v>73</v>
      </c>
      <c r="C21" s="32">
        <f>813062055.81</f>
        <v>813062055.81</v>
      </c>
      <c r="D21" s="32">
        <f>62070389.72</f>
        <v>62070389.72</v>
      </c>
      <c r="E21" s="32">
        <f>62079389.72</f>
        <v>62079389.72</v>
      </c>
      <c r="F21" s="33">
        <f t="shared" si="0"/>
        <v>0.8451886877032171</v>
      </c>
      <c r="G21" s="33">
        <f t="shared" si="1"/>
        <v>7.63415157262054</v>
      </c>
      <c r="H21" s="36"/>
    </row>
    <row r="22" spans="2:8" ht="12.75">
      <c r="B22" s="74" t="s">
        <v>6</v>
      </c>
      <c r="C22" s="32">
        <f>750763188.61</f>
        <v>750763188.61</v>
      </c>
      <c r="D22" s="32">
        <f>50883300.42</f>
        <v>50883300.42</v>
      </c>
      <c r="E22" s="32">
        <f>50892300.42</f>
        <v>50892300.42</v>
      </c>
      <c r="F22" s="33">
        <f t="shared" si="0"/>
        <v>0.6928583838765746</v>
      </c>
      <c r="G22" s="33">
        <f t="shared" si="1"/>
        <v>6.777543330834834</v>
      </c>
      <c r="H22" s="36"/>
    </row>
    <row r="23" spans="2:8" ht="15" customHeight="1">
      <c r="B23" s="62" t="s">
        <v>8</v>
      </c>
      <c r="C23" s="32">
        <f>68046918.68</f>
        <v>68046918.68</v>
      </c>
      <c r="D23" s="32">
        <f>4955227.98</f>
        <v>4955227.98</v>
      </c>
      <c r="E23" s="32">
        <f>4955227.98</f>
        <v>4955227.98</v>
      </c>
      <c r="F23" s="33">
        <f t="shared" si="0"/>
        <v>0.0674734386650225</v>
      </c>
      <c r="G23" s="33">
        <f t="shared" si="1"/>
        <v>7.282075479865064</v>
      </c>
      <c r="H23" s="36"/>
    </row>
    <row r="24" spans="2:8" ht="12.75">
      <c r="B24" s="74" t="s">
        <v>6</v>
      </c>
      <c r="C24" s="32">
        <f>61409213.03</f>
        <v>61409213.03</v>
      </c>
      <c r="D24" s="32">
        <f>3787071.64</f>
        <v>3787071.64</v>
      </c>
      <c r="E24" s="32">
        <f>3787071.64</f>
        <v>3787071.64</v>
      </c>
      <c r="F24" s="33">
        <f t="shared" si="0"/>
        <v>0.05156710186754842</v>
      </c>
      <c r="G24" s="33">
        <f t="shared" si="1"/>
        <v>6.166943774625343</v>
      </c>
      <c r="H24" s="36"/>
    </row>
    <row r="25" spans="2:8" ht="13.5" customHeight="1">
      <c r="B25" s="69" t="s">
        <v>93</v>
      </c>
      <c r="C25" s="30">
        <f>337014451.34</f>
        <v>337014451.34</v>
      </c>
      <c r="D25" s="30">
        <f>33784139.91</f>
        <v>33784139.91</v>
      </c>
      <c r="E25" s="30">
        <f>31858333.11</f>
        <v>31858333.11</v>
      </c>
      <c r="F25" s="34">
        <f t="shared" si="0"/>
        <v>0.4600256741502988</v>
      </c>
      <c r="G25" s="34">
        <f t="shared" si="1"/>
        <v>10.024537456975864</v>
      </c>
      <c r="H25" s="20"/>
    </row>
    <row r="26" spans="2:8" ht="13.5" customHeight="1">
      <c r="B26" s="63" t="s">
        <v>65</v>
      </c>
      <c r="C26" s="35">
        <f>260178888.94</f>
        <v>260178888.94</v>
      </c>
      <c r="D26" s="35">
        <f>17562611.21</f>
        <v>17562611.21</v>
      </c>
      <c r="E26" s="35">
        <f>17562611.21</f>
        <v>17562611.21</v>
      </c>
      <c r="F26" s="33">
        <f t="shared" si="0"/>
        <v>0.2391433401366069</v>
      </c>
      <c r="G26" s="33">
        <f t="shared" si="1"/>
        <v>6.75020609149043</v>
      </c>
      <c r="H26" s="20"/>
    </row>
    <row r="27" spans="2:8" ht="13.5" customHeight="1">
      <c r="B27" s="69" t="s">
        <v>94</v>
      </c>
      <c r="C27" s="75">
        <f>2397169360.23</f>
        <v>2397169360.23</v>
      </c>
      <c r="D27" s="75">
        <f>222026716.5</f>
        <v>222026716.5</v>
      </c>
      <c r="E27" s="75">
        <f>201610639.82</f>
        <v>201610639.82</v>
      </c>
      <c r="F27" s="76">
        <f t="shared" si="0"/>
        <v>3.02325263302196</v>
      </c>
      <c r="G27" s="76">
        <f t="shared" si="1"/>
        <v>9.262037141952177</v>
      </c>
      <c r="H27" s="20"/>
    </row>
    <row r="28" spans="2:8" ht="10.5" customHeight="1">
      <c r="B28" s="63" t="s">
        <v>91</v>
      </c>
      <c r="C28" s="35">
        <f>1759685843.12</f>
        <v>1759685843.12</v>
      </c>
      <c r="D28" s="35">
        <f>89330953.18</f>
        <v>89330953.18</v>
      </c>
      <c r="E28" s="35">
        <f>85627920.42</f>
        <v>85627920.42</v>
      </c>
      <c r="F28" s="33">
        <f t="shared" si="0"/>
        <v>1.216385323663499</v>
      </c>
      <c r="G28" s="33">
        <f t="shared" si="1"/>
        <v>5.07652849110909</v>
      </c>
      <c r="H28" s="20"/>
    </row>
    <row r="29" spans="2:8" s="5" customFormat="1" ht="23.25" customHeight="1">
      <c r="B29" s="61" t="s">
        <v>57</v>
      </c>
      <c r="C29" s="30">
        <f>C30+C31+C32+C33</f>
        <v>10322867355</v>
      </c>
      <c r="D29" s="30">
        <f>D30+D31+D32+D33</f>
        <v>3592194944</v>
      </c>
      <c r="E29" s="30">
        <f>E30+E31+E32+E33</f>
        <v>3036123613</v>
      </c>
      <c r="F29" s="31">
        <f t="shared" si="0"/>
        <v>48.91354064940276</v>
      </c>
      <c r="G29" s="31">
        <f t="shared" si="1"/>
        <v>34.79842199328541</v>
      </c>
      <c r="H29" s="21"/>
    </row>
    <row r="30" spans="2:8" ht="11.25" customHeight="1">
      <c r="B30" s="62" t="s">
        <v>41</v>
      </c>
      <c r="C30" s="32">
        <f>7638360003</f>
        <v>7638360003</v>
      </c>
      <c r="D30" s="32">
        <f>2933394635</f>
        <v>2933394635</v>
      </c>
      <c r="E30" s="32">
        <f>2377323304</f>
        <v>2377323304</v>
      </c>
      <c r="F30" s="33">
        <f t="shared" si="0"/>
        <v>39.942909546006106</v>
      </c>
      <c r="G30" s="33">
        <f t="shared" si="1"/>
        <v>38.40346139548144</v>
      </c>
      <c r="H30" s="20"/>
    </row>
    <row r="31" spans="2:8" ht="10.5" customHeight="1">
      <c r="B31" s="62" t="s">
        <v>40</v>
      </c>
      <c r="C31" s="32">
        <f>629879510</f>
        <v>629879510</v>
      </c>
      <c r="D31" s="32">
        <f>157382001</f>
        <v>157382001</v>
      </c>
      <c r="E31" s="32">
        <f>157382001</f>
        <v>157382001</v>
      </c>
      <c r="F31" s="33">
        <f t="shared" si="0"/>
        <v>2.1430103386387502</v>
      </c>
      <c r="G31" s="33">
        <f t="shared" si="1"/>
        <v>24.986048680961222</v>
      </c>
      <c r="H31" s="20"/>
    </row>
    <row r="32" spans="2:8" ht="11.25" customHeight="1">
      <c r="B32" s="62" t="s">
        <v>42</v>
      </c>
      <c r="C32" s="32">
        <f>2005639032</f>
        <v>2005639032</v>
      </c>
      <c r="D32" s="32">
        <f>501418308</f>
        <v>501418308</v>
      </c>
      <c r="E32" s="32">
        <f>501418308</f>
        <v>501418308</v>
      </c>
      <c r="F32" s="33">
        <f t="shared" si="0"/>
        <v>6.827620764757903</v>
      </c>
      <c r="G32" s="33">
        <f t="shared" si="1"/>
        <v>25.000426298045838</v>
      </c>
      <c r="H32" s="20"/>
    </row>
    <row r="33" spans="2:8" s="5" customFormat="1" ht="12" customHeight="1">
      <c r="B33" s="62" t="s">
        <v>39</v>
      </c>
      <c r="C33" s="32">
        <f>48988810</f>
        <v>48988810</v>
      </c>
      <c r="D33" s="32">
        <f>0</f>
        <v>0</v>
      </c>
      <c r="E33" s="32">
        <f>0</f>
        <v>0</v>
      </c>
      <c r="F33" s="33">
        <f t="shared" si="0"/>
        <v>0</v>
      </c>
      <c r="G33" s="33">
        <f t="shared" si="1"/>
        <v>0</v>
      </c>
      <c r="H33" s="21"/>
    </row>
    <row r="34" spans="2:7" s="5" customFormat="1" ht="12.75">
      <c r="B34" s="77" t="s">
        <v>5</v>
      </c>
      <c r="C34" s="75">
        <f>+C5</f>
        <v>27667306463.59</v>
      </c>
      <c r="D34" s="75">
        <f>+D5</f>
        <v>7343968349.68</v>
      </c>
      <c r="E34" s="75">
        <f>+E5</f>
        <v>6465195851.32</v>
      </c>
      <c r="F34" s="76">
        <f>IF($D$5=0,"",100*$D34/$D$34)</f>
        <v>100</v>
      </c>
      <c r="G34" s="76">
        <f t="shared" si="1"/>
        <v>26.543850082929524</v>
      </c>
    </row>
    <row r="35" spans="2:7" s="5" customFormat="1" ht="13.5" customHeight="1">
      <c r="B35" s="62" t="s">
        <v>67</v>
      </c>
      <c r="C35" s="32">
        <f>4079369407.13</f>
        <v>4079369407.13</v>
      </c>
      <c r="D35" s="32">
        <f>226200579.93</f>
        <v>226200579.93</v>
      </c>
      <c r="E35" s="32">
        <f>222439478.66</f>
        <v>222439478.66</v>
      </c>
      <c r="F35" s="33">
        <f>IF($D$5=0,"",100*$D35/$D$34)</f>
        <v>3.0800865303273843</v>
      </c>
      <c r="G35" s="33">
        <f t="shared" si="1"/>
        <v>5.544988878296785</v>
      </c>
    </row>
    <row r="36" spans="1:13" s="5" customFormat="1" ht="14.25" customHeight="1">
      <c r="A36" s="2"/>
      <c r="B36" s="62" t="s">
        <v>68</v>
      </c>
      <c r="C36" s="32">
        <f>C34-C35</f>
        <v>23587937056.46</v>
      </c>
      <c r="D36" s="32">
        <f>D34-D35</f>
        <v>7117767769.75</v>
      </c>
      <c r="E36" s="32">
        <f>E34-E35</f>
        <v>6242756372.66</v>
      </c>
      <c r="F36" s="33">
        <f>IF($D$5=0,"",100*$D36/$D$34)</f>
        <v>96.91991346967261</v>
      </c>
      <c r="G36" s="33">
        <f t="shared" si="1"/>
        <v>30.17545685624367</v>
      </c>
      <c r="I36" s="15"/>
      <c r="J36" s="15"/>
      <c r="K36" s="9"/>
      <c r="L36" s="9"/>
      <c r="M36" s="3"/>
    </row>
    <row r="37" spans="2:13" ht="32.25" customHeight="1">
      <c r="B37" s="121" t="s">
        <v>97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3" t="s">
        <v>0</v>
      </c>
      <c r="C39" s="109" t="s">
        <v>51</v>
      </c>
      <c r="D39" s="109" t="s">
        <v>52</v>
      </c>
      <c r="E39" s="109" t="s">
        <v>53</v>
      </c>
      <c r="F39" s="109" t="s">
        <v>12</v>
      </c>
      <c r="G39" s="109"/>
      <c r="H39" s="109"/>
      <c r="I39" s="109" t="s">
        <v>92</v>
      </c>
      <c r="J39" s="109"/>
      <c r="K39" s="109" t="s">
        <v>2</v>
      </c>
      <c r="L39" s="122" t="s">
        <v>35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3"/>
      <c r="C40" s="109"/>
      <c r="D40" s="108"/>
      <c r="E40" s="109"/>
      <c r="F40" s="107" t="s">
        <v>54</v>
      </c>
      <c r="G40" s="110" t="s">
        <v>33</v>
      </c>
      <c r="H40" s="108"/>
      <c r="I40" s="109"/>
      <c r="J40" s="109"/>
      <c r="K40" s="109"/>
      <c r="L40" s="122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3"/>
      <c r="C41" s="109"/>
      <c r="D41" s="108"/>
      <c r="E41" s="109"/>
      <c r="F41" s="108"/>
      <c r="G41" s="17" t="s">
        <v>49</v>
      </c>
      <c r="H41" s="17" t="s">
        <v>50</v>
      </c>
      <c r="I41" s="109"/>
      <c r="J41" s="109"/>
      <c r="K41" s="109"/>
      <c r="L41" s="122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3"/>
      <c r="C42" s="124" t="s">
        <v>72</v>
      </c>
      <c r="D42" s="124"/>
      <c r="E42" s="124"/>
      <c r="F42" s="124"/>
      <c r="G42" s="124"/>
      <c r="H42" s="124"/>
      <c r="I42" s="124"/>
      <c r="J42" s="124"/>
      <c r="K42" s="124" t="s">
        <v>4</v>
      </c>
      <c r="L42" s="12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08">
        <v>8</v>
      </c>
      <c r="J43" s="108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58</v>
      </c>
      <c r="C44" s="79">
        <f>29787131567.55</f>
        <v>29787131567.55</v>
      </c>
      <c r="D44" s="79">
        <f>17454150516.67</f>
        <v>17454150516.67</v>
      </c>
      <c r="E44" s="79">
        <f>5751357929.98</f>
        <v>5751357929.98</v>
      </c>
      <c r="F44" s="79">
        <f>700656217.29</f>
        <v>700656217.29</v>
      </c>
      <c r="G44" s="79">
        <f>8421633.7</f>
        <v>8421633.7</v>
      </c>
      <c r="H44" s="79">
        <f>1084323.63</f>
        <v>1084323.63</v>
      </c>
      <c r="I44" s="113">
        <f>0</f>
        <v>0</v>
      </c>
      <c r="J44" s="113"/>
      <c r="K44" s="55">
        <f aca="true" t="shared" si="2" ref="K44:K55">IF($E$44=0,"",100*$E44/$E$44)</f>
        <v>100.00000000000001</v>
      </c>
      <c r="L44" s="55">
        <f aca="true" t="shared" si="3" ref="L44:L55">IF(C44=0,"",100*E44/C44)</f>
        <v>19.308196618184983</v>
      </c>
    </row>
    <row r="45" spans="2:12" ht="12.75">
      <c r="B45" s="29" t="s">
        <v>14</v>
      </c>
      <c r="C45" s="39">
        <f>7237262668.01</f>
        <v>7237262668.01</v>
      </c>
      <c r="D45" s="39">
        <f>2194562904.25</f>
        <v>2194562904.25</v>
      </c>
      <c r="E45" s="39">
        <f>254766877.08</f>
        <v>254766877.08</v>
      </c>
      <c r="F45" s="39">
        <f>70467540.81</f>
        <v>70467540.81</v>
      </c>
      <c r="G45" s="39">
        <f>132.1</f>
        <v>132.1</v>
      </c>
      <c r="H45" s="39">
        <f>166978.69</f>
        <v>166978.69</v>
      </c>
      <c r="I45" s="104">
        <f>0</f>
        <v>0</v>
      </c>
      <c r="J45" s="114"/>
      <c r="K45" s="40">
        <f t="shared" si="2"/>
        <v>4.429682175612498</v>
      </c>
      <c r="L45" s="40">
        <f t="shared" si="3"/>
        <v>3.520210454791358</v>
      </c>
    </row>
    <row r="46" spans="2:12" ht="22.5" customHeight="1">
      <c r="B46" s="19" t="s">
        <v>13</v>
      </c>
      <c r="C46" s="35">
        <f>7202013366.55</f>
        <v>7202013366.55</v>
      </c>
      <c r="D46" s="35">
        <f>2185297628.9</f>
        <v>2185297628.9</v>
      </c>
      <c r="E46" s="35">
        <f>249834512.67</f>
        <v>249834512.67</v>
      </c>
      <c r="F46" s="35">
        <f>67215040.81</f>
        <v>67215040.81</v>
      </c>
      <c r="G46" s="35">
        <f>132.1</f>
        <v>132.1</v>
      </c>
      <c r="H46" s="35">
        <f>166978.69</f>
        <v>166978.69</v>
      </c>
      <c r="I46" s="111">
        <f>0</f>
        <v>0</v>
      </c>
      <c r="J46" s="112"/>
      <c r="K46" s="41">
        <f t="shared" si="2"/>
        <v>4.343922178233633</v>
      </c>
      <c r="L46" s="41">
        <f t="shared" si="3"/>
        <v>3.4689537488275852</v>
      </c>
    </row>
    <row r="47" spans="2:12" ht="25.5" customHeight="1">
      <c r="B47" s="29" t="s">
        <v>59</v>
      </c>
      <c r="C47" s="39">
        <f aca="true" t="shared" si="4" ref="C47:I47">C44-C45</f>
        <v>22549868899.54</v>
      </c>
      <c r="D47" s="39">
        <f t="shared" si="4"/>
        <v>15259587612.419998</v>
      </c>
      <c r="E47" s="39">
        <f t="shared" si="4"/>
        <v>5496591052.9</v>
      </c>
      <c r="F47" s="39">
        <f t="shared" si="4"/>
        <v>630188676.48</v>
      </c>
      <c r="G47" s="39">
        <f t="shared" si="4"/>
        <v>8421501.6</v>
      </c>
      <c r="H47" s="39">
        <f t="shared" si="4"/>
        <v>917344.94</v>
      </c>
      <c r="I47" s="104">
        <f t="shared" si="4"/>
        <v>0</v>
      </c>
      <c r="J47" s="104"/>
      <c r="K47" s="40">
        <f t="shared" si="2"/>
        <v>95.5703178243875</v>
      </c>
      <c r="L47" s="40">
        <f t="shared" si="3"/>
        <v>24.37526833254505</v>
      </c>
    </row>
    <row r="48" spans="2:12" ht="13.5" customHeight="1">
      <c r="B48" s="19" t="s">
        <v>48</v>
      </c>
      <c r="C48" s="35">
        <f>11391797456.68</f>
        <v>11391797456.68</v>
      </c>
      <c r="D48" s="35">
        <f>9451225594.18</f>
        <v>9451225594.18</v>
      </c>
      <c r="E48" s="35">
        <f>3221584802.62</f>
        <v>3221584802.62</v>
      </c>
      <c r="F48" s="35">
        <f>226428610.11</f>
        <v>226428610.11</v>
      </c>
      <c r="G48" s="35">
        <f>0</f>
        <v>0</v>
      </c>
      <c r="H48" s="35">
        <f>249496.02</f>
        <v>249496.02</v>
      </c>
      <c r="I48" s="111">
        <f>0</f>
        <v>0</v>
      </c>
      <c r="J48" s="112"/>
      <c r="K48" s="41">
        <f t="shared" si="2"/>
        <v>56.01433334251209</v>
      </c>
      <c r="L48" s="41">
        <f t="shared" si="3"/>
        <v>28.279863778045886</v>
      </c>
    </row>
    <row r="49" spans="2:12" ht="22.5" customHeight="1">
      <c r="B49" s="80" t="s">
        <v>43</v>
      </c>
      <c r="C49" s="81">
        <f>10202058390.27</f>
        <v>10202058390.27</v>
      </c>
      <c r="D49" s="81">
        <f>8467970408.85</f>
        <v>8467970408.85</v>
      </c>
      <c r="E49" s="81">
        <f>2402537657.68</f>
        <v>2402537657.68</v>
      </c>
      <c r="F49" s="81">
        <f>172802953.25</f>
        <v>172802953.25</v>
      </c>
      <c r="G49" s="81">
        <f>0</f>
        <v>0</v>
      </c>
      <c r="H49" s="81">
        <f>248669.01</f>
        <v>248669.01</v>
      </c>
      <c r="I49" s="101">
        <f>0</f>
        <v>0</v>
      </c>
      <c r="J49" s="101"/>
      <c r="K49" s="82">
        <f t="shared" si="2"/>
        <v>41.77339833357154</v>
      </c>
      <c r="L49" s="82">
        <f t="shared" si="3"/>
        <v>23.549538394833828</v>
      </c>
    </row>
    <row r="50" spans="2:12" ht="13.5" customHeight="1">
      <c r="B50" s="22" t="s">
        <v>47</v>
      </c>
      <c r="C50" s="32">
        <f>1947457807.28</f>
        <v>1947457807.28</v>
      </c>
      <c r="D50" s="32">
        <f>1638261639.59</f>
        <v>1638261639.59</v>
      </c>
      <c r="E50" s="32">
        <f>482858101.59</f>
        <v>482858101.59</v>
      </c>
      <c r="F50" s="32">
        <f>122028529.04</f>
        <v>122028529.04</v>
      </c>
      <c r="G50" s="32">
        <f>0</f>
        <v>0</v>
      </c>
      <c r="H50" s="32">
        <f>170475.44</f>
        <v>170475.44</v>
      </c>
      <c r="I50" s="100">
        <f>0</f>
        <v>0</v>
      </c>
      <c r="J50" s="100"/>
      <c r="K50" s="82">
        <f t="shared" si="2"/>
        <v>8.395549494024955</v>
      </c>
      <c r="L50" s="82">
        <f t="shared" si="3"/>
        <v>24.794277944558107</v>
      </c>
    </row>
    <row r="51" spans="2:12" ht="13.5" customHeight="1">
      <c r="B51" s="22" t="s">
        <v>46</v>
      </c>
      <c r="C51" s="81">
        <f>1788652854.42</f>
        <v>1788652854.42</v>
      </c>
      <c r="D51" s="81">
        <f>1001577061.46</f>
        <v>1001577061.46</v>
      </c>
      <c r="E51" s="81">
        <f>426514798.67</f>
        <v>426514798.67</v>
      </c>
      <c r="F51" s="81">
        <f>5005069.11</f>
        <v>5005069.11</v>
      </c>
      <c r="G51" s="81">
        <f>0</f>
        <v>0</v>
      </c>
      <c r="H51" s="81">
        <f>0</f>
        <v>0</v>
      </c>
      <c r="I51" s="101">
        <f>0</f>
        <v>0</v>
      </c>
      <c r="J51" s="101"/>
      <c r="K51" s="82">
        <f t="shared" si="2"/>
        <v>7.415897321338914</v>
      </c>
      <c r="L51" s="82">
        <f t="shared" si="3"/>
        <v>23.845588461507496</v>
      </c>
    </row>
    <row r="52" spans="2:12" ht="13.5" customHeight="1">
      <c r="B52" s="22" t="s">
        <v>45</v>
      </c>
      <c r="C52" s="32">
        <f>195217807.3</f>
        <v>195217807.3</v>
      </c>
      <c r="D52" s="32">
        <f>68686738.3</f>
        <v>68686738.3</v>
      </c>
      <c r="E52" s="32">
        <f>30825800.07</f>
        <v>30825800.07</v>
      </c>
      <c r="F52" s="32">
        <f>4294452.96</f>
        <v>4294452.96</v>
      </c>
      <c r="G52" s="32">
        <f>0</f>
        <v>0</v>
      </c>
      <c r="H52" s="32">
        <f>0</f>
        <v>0</v>
      </c>
      <c r="I52" s="100">
        <f>0</f>
        <v>0</v>
      </c>
      <c r="J52" s="100"/>
      <c r="K52" s="82">
        <f t="shared" si="2"/>
        <v>0.5359742941630342</v>
      </c>
      <c r="L52" s="82">
        <f t="shared" si="3"/>
        <v>15.79046527381009</v>
      </c>
    </row>
    <row r="53" spans="2:12" ht="22.5" customHeight="1">
      <c r="B53" s="22" t="s">
        <v>62</v>
      </c>
      <c r="C53" s="81">
        <f>54453979.89</f>
        <v>54453979.89</v>
      </c>
      <c r="D53" s="81">
        <f>7945689.76</f>
        <v>7945689.76</v>
      </c>
      <c r="E53" s="81">
        <f>1491404.75</f>
        <v>1491404.75</v>
      </c>
      <c r="F53" s="81">
        <f>0</f>
        <v>0</v>
      </c>
      <c r="G53" s="81">
        <f>0</f>
        <v>0</v>
      </c>
      <c r="H53" s="81">
        <f>0</f>
        <v>0</v>
      </c>
      <c r="I53" s="101">
        <f>0</f>
        <v>0</v>
      </c>
      <c r="J53" s="101"/>
      <c r="K53" s="82">
        <f t="shared" si="2"/>
        <v>0.025931349920438464</v>
      </c>
      <c r="L53" s="82">
        <f t="shared" si="3"/>
        <v>2.738835165056289</v>
      </c>
    </row>
    <row r="54" spans="2:12" ht="22.5" customHeight="1">
      <c r="B54" s="22" t="s">
        <v>64</v>
      </c>
      <c r="C54" s="81">
        <f>1065788432.4</f>
        <v>1065788432.4</v>
      </c>
      <c r="D54" s="81">
        <f>578927158.24</f>
        <v>578927158.24</v>
      </c>
      <c r="E54" s="81">
        <f>234525538.12</f>
        <v>234525538.12</v>
      </c>
      <c r="F54" s="81">
        <f>9231793.57</f>
        <v>9231793.57</v>
      </c>
      <c r="G54" s="81">
        <f>853</f>
        <v>853</v>
      </c>
      <c r="H54" s="81">
        <f>8885.47</f>
        <v>8885.47</v>
      </c>
      <c r="I54" s="105">
        <f>0</f>
        <v>0</v>
      </c>
      <c r="J54" s="106"/>
      <c r="K54" s="82">
        <f t="shared" si="2"/>
        <v>4.077742004153366</v>
      </c>
      <c r="L54" s="82">
        <f t="shared" si="3"/>
        <v>22.004886804023826</v>
      </c>
    </row>
    <row r="55" spans="2:12" ht="13.5" customHeight="1">
      <c r="B55" s="19" t="s">
        <v>44</v>
      </c>
      <c r="C55" s="35">
        <f aca="true" t="shared" si="5" ref="C55:I55">C47-C48-C50-C51-C52-C53-C54</f>
        <v>6106500561.57</v>
      </c>
      <c r="D55" s="35">
        <f t="shared" si="5"/>
        <v>2512963730.8899975</v>
      </c>
      <c r="E55" s="35">
        <f t="shared" si="5"/>
        <v>1098790607.08</v>
      </c>
      <c r="F55" s="35">
        <f t="shared" si="5"/>
        <v>263200221.69</v>
      </c>
      <c r="G55" s="35">
        <f t="shared" si="5"/>
        <v>8420648.6</v>
      </c>
      <c r="H55" s="35">
        <f t="shared" si="5"/>
        <v>488488.00999999995</v>
      </c>
      <c r="I55" s="102">
        <f t="shared" si="5"/>
        <v>0</v>
      </c>
      <c r="J55" s="103"/>
      <c r="K55" s="41">
        <f t="shared" si="2"/>
        <v>19.104890018274713</v>
      </c>
      <c r="L55" s="41">
        <f t="shared" si="3"/>
        <v>17.993785409519354</v>
      </c>
    </row>
    <row r="56" spans="2:13" ht="12.75">
      <c r="B56" s="78" t="s">
        <v>15</v>
      </c>
      <c r="C56" s="87">
        <f>C5-C44</f>
        <v>-2119825103.959999</v>
      </c>
      <c r="D56" s="87"/>
      <c r="E56" s="87">
        <f>D5-E44</f>
        <v>1592610419.7000008</v>
      </c>
      <c r="F56" s="87"/>
      <c r="G56" s="87"/>
      <c r="H56" s="87"/>
      <c r="I56" s="104"/>
      <c r="J56" s="104"/>
      <c r="K56" s="91"/>
      <c r="L56" s="91"/>
      <c r="M56" s="13"/>
    </row>
    <row r="57" spans="2:13" ht="39" customHeight="1">
      <c r="B57" s="88" t="s">
        <v>95</v>
      </c>
      <c r="C57" s="89">
        <f>C36-C47</f>
        <v>1038068156.9199982</v>
      </c>
      <c r="D57" s="90"/>
      <c r="E57" s="89">
        <f>D36-E47</f>
        <v>1621176716.8500004</v>
      </c>
      <c r="F57" s="90"/>
      <c r="G57" s="90"/>
      <c r="H57" s="90"/>
      <c r="I57" s="90"/>
      <c r="J57" s="90"/>
      <c r="K57" s="42"/>
      <c r="L57" s="43"/>
      <c r="M57" s="10"/>
    </row>
    <row r="58" spans="2:13" ht="12" customHeight="1" thickBot="1">
      <c r="B58" s="37"/>
      <c r="C58" s="44"/>
      <c r="D58" s="44"/>
      <c r="E58" s="44"/>
      <c r="F58" s="45"/>
      <c r="G58" s="45"/>
      <c r="H58" s="45"/>
      <c r="I58" s="45"/>
      <c r="J58" s="42"/>
      <c r="K58" s="42"/>
      <c r="L58" s="43"/>
      <c r="M58" s="10"/>
    </row>
    <row r="59" spans="2:13" ht="12" customHeight="1" thickBot="1">
      <c r="B59" s="38" t="s">
        <v>69</v>
      </c>
      <c r="C59" s="44"/>
      <c r="D59" s="44"/>
      <c r="E59" s="44"/>
      <c r="F59" s="45"/>
      <c r="G59" s="45"/>
      <c r="H59" s="45"/>
      <c r="I59" s="45"/>
      <c r="J59" s="42"/>
      <c r="K59" s="42"/>
      <c r="L59" s="43"/>
      <c r="M59" s="10"/>
    </row>
    <row r="60" spans="2:13" ht="30" customHeight="1" thickBot="1">
      <c r="B60" s="86" t="s">
        <v>96</v>
      </c>
      <c r="C60" s="83">
        <f>3815832787.82</f>
        <v>3815832787.82</v>
      </c>
      <c r="D60" s="83">
        <f>1338795550.15</f>
        <v>1338795550.15</v>
      </c>
      <c r="E60" s="83">
        <f>259052141.18</f>
        <v>259052141.18</v>
      </c>
      <c r="F60" s="83">
        <f>39744398.79</f>
        <v>39744398.79</v>
      </c>
      <c r="G60" s="83">
        <f>132.1</f>
        <v>132.1</v>
      </c>
      <c r="H60" s="83">
        <f>2107.7</f>
        <v>2107.7</v>
      </c>
      <c r="I60" s="83">
        <f>0</f>
        <v>0</v>
      </c>
      <c r="J60" s="83">
        <f>0</f>
        <v>0</v>
      </c>
      <c r="K60" s="55">
        <f>IF($E$44=0,"",100*$E60/$E$60)</f>
        <v>100</v>
      </c>
      <c r="L60" s="84">
        <f>IF(C60=0,"",100*E60/C60)</f>
        <v>6.788875602906003</v>
      </c>
      <c r="M60" s="10"/>
    </row>
    <row r="61" spans="2:12" ht="13.5" thickBot="1">
      <c r="B61" s="85" t="s">
        <v>70</v>
      </c>
      <c r="C61" s="81">
        <f>2916496618.77</f>
        <v>2916496618.77</v>
      </c>
      <c r="D61" s="81">
        <f>1020840053.37</f>
        <v>1020840053.37</v>
      </c>
      <c r="E61" s="81">
        <f>130807662.3</f>
        <v>130807662.3</v>
      </c>
      <c r="F61" s="81">
        <f>29488967.33</f>
        <v>29488967.33</v>
      </c>
      <c r="G61" s="81">
        <f>132.1</f>
        <v>132.1</v>
      </c>
      <c r="H61" s="81">
        <f>1007.7</f>
        <v>1007.7</v>
      </c>
      <c r="I61" s="81">
        <f>0</f>
        <v>0</v>
      </c>
      <c r="J61" s="81">
        <f>0</f>
        <v>0</v>
      </c>
      <c r="K61" s="82">
        <f>IF($E$44=0,"",100*$E61/$E$60)</f>
        <v>50.49472345766465</v>
      </c>
      <c r="L61" s="82">
        <f>IF(C61=0,"",100*E61/C61)</f>
        <v>4.485095626655198</v>
      </c>
    </row>
    <row r="62" spans="2:12" ht="13.5" thickBot="1">
      <c r="B62" s="85" t="s">
        <v>71</v>
      </c>
      <c r="C62" s="81">
        <f>C60-C61</f>
        <v>899336169.0500002</v>
      </c>
      <c r="D62" s="81">
        <f aca="true" t="shared" si="6" ref="D62:J62">D60-D61</f>
        <v>317955496.7800001</v>
      </c>
      <c r="E62" s="81">
        <f t="shared" si="6"/>
        <v>128244478.88000001</v>
      </c>
      <c r="F62" s="81">
        <f t="shared" si="6"/>
        <v>10255431.46</v>
      </c>
      <c r="G62" s="81">
        <f t="shared" si="6"/>
        <v>0</v>
      </c>
      <c r="H62" s="81">
        <f t="shared" si="6"/>
        <v>1099.9999999999998</v>
      </c>
      <c r="I62" s="81">
        <f t="shared" si="6"/>
        <v>0</v>
      </c>
      <c r="J62" s="81">
        <f t="shared" si="6"/>
        <v>0</v>
      </c>
      <c r="K62" s="82">
        <f>IF($E$44=0,"",100*$E62/$E$60)</f>
        <v>49.50527654233536</v>
      </c>
      <c r="L62" s="82">
        <f>IF(C62=0,"",100*E62/C62)</f>
        <v>14.2599045043934</v>
      </c>
    </row>
    <row r="63" spans="2:13" ht="25.5" customHeight="1">
      <c r="B63" s="121" t="s">
        <v>97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2:8" ht="12.75">
      <c r="B64" s="26" t="s">
        <v>16</v>
      </c>
      <c r="C64" s="115" t="s">
        <v>17</v>
      </c>
      <c r="D64" s="116"/>
      <c r="E64" s="115" t="s">
        <v>1</v>
      </c>
      <c r="F64" s="116"/>
      <c r="G64" s="18" t="s">
        <v>22</v>
      </c>
      <c r="H64" s="18" t="s">
        <v>23</v>
      </c>
    </row>
    <row r="65" spans="2:8" ht="12.75">
      <c r="B65" s="26"/>
      <c r="C65" s="107" t="s">
        <v>72</v>
      </c>
      <c r="D65" s="117"/>
      <c r="E65" s="117"/>
      <c r="F65" s="118"/>
      <c r="G65" s="119" t="s">
        <v>4</v>
      </c>
      <c r="H65" s="120"/>
    </row>
    <row r="66" spans="2:8" ht="12.75">
      <c r="B66" s="24">
        <v>1</v>
      </c>
      <c r="C66" s="27">
        <v>2</v>
      </c>
      <c r="D66" s="28"/>
      <c r="E66" s="27">
        <v>3</v>
      </c>
      <c r="F66" s="28"/>
      <c r="G66" s="25">
        <v>4</v>
      </c>
      <c r="H66" s="25">
        <v>5</v>
      </c>
    </row>
    <row r="67" spans="2:8" ht="22.5">
      <c r="B67" s="66" t="s">
        <v>60</v>
      </c>
      <c r="C67" s="46">
        <f>2842785987.95</f>
        <v>2842785987.95</v>
      </c>
      <c r="D67" s="47"/>
      <c r="E67" s="46">
        <f>1752030667.47</f>
        <v>1752030667.47</v>
      </c>
      <c r="F67" s="47"/>
      <c r="G67" s="48">
        <f>IF($E$67=0,"",100*$E67/$E$67)</f>
        <v>100</v>
      </c>
      <c r="H67" s="40">
        <f>IF(C67=0,"",100*E67/C67)</f>
        <v>61.63076203754018</v>
      </c>
    </row>
    <row r="68" spans="2:8" ht="12.75">
      <c r="B68" s="67" t="s">
        <v>25</v>
      </c>
      <c r="C68" s="49">
        <f>1856653773.9</f>
        <v>1856653773.9</v>
      </c>
      <c r="D68" s="50"/>
      <c r="E68" s="49">
        <f>24200332.22</f>
        <v>24200332.22</v>
      </c>
      <c r="F68" s="50"/>
      <c r="G68" s="51">
        <f aca="true" t="shared" si="7" ref="G68:G78">IF($E$67=0,"",100*$E68/$E$67)</f>
        <v>1.3812733229690675</v>
      </c>
      <c r="H68" s="52">
        <f aca="true" t="shared" si="8" ref="H68:H85">IF(C68=0,"",100*E68/C68)</f>
        <v>1.3034380755419959</v>
      </c>
    </row>
    <row r="69" spans="2:8" ht="67.5">
      <c r="B69" s="92" t="s">
        <v>66</v>
      </c>
      <c r="C69" s="93">
        <f>63177000</f>
        <v>63177000</v>
      </c>
      <c r="D69" s="94"/>
      <c r="E69" s="93">
        <f>0</f>
        <v>0</v>
      </c>
      <c r="F69" s="94"/>
      <c r="G69" s="95">
        <f t="shared" si="7"/>
        <v>0</v>
      </c>
      <c r="H69" s="96">
        <f t="shared" si="8"/>
        <v>0</v>
      </c>
    </row>
    <row r="70" spans="2:8" ht="12.75">
      <c r="B70" s="97" t="s">
        <v>28</v>
      </c>
      <c r="C70" s="93">
        <f>20617501</f>
        <v>20617501</v>
      </c>
      <c r="D70" s="94"/>
      <c r="E70" s="93">
        <f>2968610</f>
        <v>2968610</v>
      </c>
      <c r="F70" s="94"/>
      <c r="G70" s="95">
        <f t="shared" si="7"/>
        <v>0.16943824415395578</v>
      </c>
      <c r="H70" s="96">
        <f t="shared" si="8"/>
        <v>14.398495724578842</v>
      </c>
    </row>
    <row r="71" spans="2:8" ht="16.5" customHeight="1">
      <c r="B71" s="97" t="s">
        <v>26</v>
      </c>
      <c r="C71" s="93">
        <f>154830214.81</f>
        <v>154830214.81</v>
      </c>
      <c r="D71" s="94"/>
      <c r="E71" s="93">
        <f>322346196.01</f>
        <v>322346196.01</v>
      </c>
      <c r="F71" s="94"/>
      <c r="G71" s="95">
        <f t="shared" si="7"/>
        <v>18.398433428992448</v>
      </c>
      <c r="H71" s="96">
        <f t="shared" si="8"/>
        <v>208.19334030219318</v>
      </c>
    </row>
    <row r="72" spans="2:8" ht="12.75">
      <c r="B72" s="92" t="s">
        <v>74</v>
      </c>
      <c r="C72" s="93">
        <f>0</f>
        <v>0</v>
      </c>
      <c r="D72" s="94"/>
      <c r="E72" s="93">
        <f>0</f>
        <v>0</v>
      </c>
      <c r="F72" s="94"/>
      <c r="G72" s="95">
        <f t="shared" si="7"/>
        <v>0</v>
      </c>
      <c r="H72" s="96">
        <f t="shared" si="8"/>
      </c>
    </row>
    <row r="73" spans="2:8" ht="12.75">
      <c r="B73" s="97" t="s">
        <v>27</v>
      </c>
      <c r="C73" s="93">
        <f>0</f>
        <v>0</v>
      </c>
      <c r="D73" s="94"/>
      <c r="E73" s="93">
        <f>0</f>
        <v>0</v>
      </c>
      <c r="F73" s="94"/>
      <c r="G73" s="95">
        <f t="shared" si="7"/>
        <v>0</v>
      </c>
      <c r="H73" s="96">
        <f t="shared" si="8"/>
      </c>
    </row>
    <row r="74" spans="2:8" ht="67.5">
      <c r="B74" s="92" t="s">
        <v>66</v>
      </c>
      <c r="C74" s="93">
        <f>0</f>
        <v>0</v>
      </c>
      <c r="D74" s="94"/>
      <c r="E74" s="93">
        <f>0</f>
        <v>0</v>
      </c>
      <c r="F74" s="94"/>
      <c r="G74" s="95">
        <f t="shared" si="7"/>
        <v>0</v>
      </c>
      <c r="H74" s="96">
        <f t="shared" si="8"/>
      </c>
    </row>
    <row r="75" spans="2:8" ht="12.75">
      <c r="B75" s="97" t="s">
        <v>29</v>
      </c>
      <c r="C75" s="93">
        <f>800694268.24</f>
        <v>800694268.24</v>
      </c>
      <c r="D75" s="94"/>
      <c r="E75" s="93">
        <f>1394826471.67</f>
        <v>1394826471.67</v>
      </c>
      <c r="F75" s="94"/>
      <c r="G75" s="95">
        <f t="shared" si="7"/>
        <v>79.61198953692879</v>
      </c>
      <c r="H75" s="96">
        <f t="shared" si="8"/>
        <v>174.20213020082653</v>
      </c>
    </row>
    <row r="76" spans="2:8" ht="33.75">
      <c r="B76" s="97" t="s">
        <v>75</v>
      </c>
      <c r="C76" s="93">
        <f>9990230</f>
        <v>9990230</v>
      </c>
      <c r="D76" s="94"/>
      <c r="E76" s="93">
        <f>7689057.57</f>
        <v>7689057.57</v>
      </c>
      <c r="F76" s="94"/>
      <c r="G76" s="95">
        <f t="shared" si="7"/>
        <v>0.4388654669557409</v>
      </c>
      <c r="H76" s="96">
        <f t="shared" si="8"/>
        <v>76.96577125851957</v>
      </c>
    </row>
    <row r="77" spans="2:8" ht="12.75">
      <c r="B77" s="92" t="s">
        <v>74</v>
      </c>
      <c r="C77" s="93">
        <f>0</f>
        <v>0</v>
      </c>
      <c r="D77" s="94"/>
      <c r="E77" s="93">
        <f>0</f>
        <v>0</v>
      </c>
      <c r="F77" s="94"/>
      <c r="G77" s="95">
        <f t="shared" si="7"/>
        <v>0</v>
      </c>
      <c r="H77" s="96">
        <f t="shared" si="8"/>
      </c>
    </row>
    <row r="78" spans="2:8" ht="12.75">
      <c r="B78" s="92" t="s">
        <v>76</v>
      </c>
      <c r="C78" s="93">
        <f>0</f>
        <v>0</v>
      </c>
      <c r="D78" s="94"/>
      <c r="E78" s="93">
        <f>0</f>
        <v>0</v>
      </c>
      <c r="F78" s="94"/>
      <c r="G78" s="95">
        <f t="shared" si="7"/>
        <v>0</v>
      </c>
      <c r="H78" s="96">
        <f t="shared" si="8"/>
      </c>
    </row>
    <row r="79" spans="2:8" ht="22.5">
      <c r="B79" s="66" t="s">
        <v>61</v>
      </c>
      <c r="C79" s="58">
        <f>717151782.22</f>
        <v>717151782.22</v>
      </c>
      <c r="D79" s="59"/>
      <c r="E79" s="58">
        <f>213773774.59</f>
        <v>213773774.59</v>
      </c>
      <c r="F79" s="59"/>
      <c r="G79" s="48">
        <f aca="true" t="shared" si="9" ref="G79:G84">IF($E$79=0,"",100*$E79/$E$79)</f>
        <v>100</v>
      </c>
      <c r="H79" s="40">
        <f t="shared" si="8"/>
        <v>29.808721095030453</v>
      </c>
    </row>
    <row r="80" spans="2:8" ht="15" customHeight="1">
      <c r="B80" s="67" t="s">
        <v>30</v>
      </c>
      <c r="C80" s="49">
        <f>676681154.8</f>
        <v>676681154.8</v>
      </c>
      <c r="D80" s="57"/>
      <c r="E80" s="56">
        <f>164345201.9</f>
        <v>164345201.9</v>
      </c>
      <c r="F80" s="57"/>
      <c r="G80" s="51">
        <f t="shared" si="9"/>
        <v>76.8780933092472</v>
      </c>
      <c r="H80" s="52">
        <f t="shared" si="8"/>
        <v>24.28694825239723</v>
      </c>
    </row>
    <row r="81" spans="2:8" ht="67.5">
      <c r="B81" s="92" t="s">
        <v>66</v>
      </c>
      <c r="C81" s="93">
        <f>30560000</f>
        <v>30560000</v>
      </c>
      <c r="D81" s="94"/>
      <c r="E81" s="93">
        <f>0</f>
        <v>0</v>
      </c>
      <c r="F81" s="94"/>
      <c r="G81" s="95">
        <f t="shared" si="9"/>
        <v>0</v>
      </c>
      <c r="H81" s="96">
        <f t="shared" si="8"/>
        <v>0</v>
      </c>
    </row>
    <row r="82" spans="2:8" ht="12.75">
      <c r="B82" s="97" t="s">
        <v>31</v>
      </c>
      <c r="C82" s="93">
        <f>20305758</f>
        <v>20305758</v>
      </c>
      <c r="D82" s="94"/>
      <c r="E82" s="93">
        <f>19010762.05</f>
        <v>19010762.05</v>
      </c>
      <c r="F82" s="94"/>
      <c r="G82" s="95">
        <f t="shared" si="9"/>
        <v>8.89293463918155</v>
      </c>
      <c r="H82" s="96">
        <f t="shared" si="8"/>
        <v>93.62251854867964</v>
      </c>
    </row>
    <row r="83" spans="2:8" ht="22.5">
      <c r="B83" s="97" t="s">
        <v>32</v>
      </c>
      <c r="C83" s="93">
        <f>20164869.42</f>
        <v>20164869.42</v>
      </c>
      <c r="D83" s="94"/>
      <c r="E83" s="93">
        <f>30417810.64</f>
        <v>30417810.64</v>
      </c>
      <c r="F83" s="94"/>
      <c r="G83" s="95">
        <f t="shared" si="9"/>
        <v>14.228972051571239</v>
      </c>
      <c r="H83" s="96">
        <f t="shared" si="8"/>
        <v>150.84556218266846</v>
      </c>
    </row>
    <row r="84" spans="2:8" ht="67.5">
      <c r="B84" s="92" t="s">
        <v>66</v>
      </c>
      <c r="C84" s="93">
        <f>0</f>
        <v>0</v>
      </c>
      <c r="D84" s="94"/>
      <c r="E84" s="93">
        <f>0</f>
        <v>0</v>
      </c>
      <c r="F84" s="94"/>
      <c r="G84" s="95">
        <f t="shared" si="9"/>
        <v>0</v>
      </c>
      <c r="H84" s="96">
        <f t="shared" si="8"/>
      </c>
    </row>
    <row r="85" spans="2:8" ht="12.75">
      <c r="B85" s="68" t="s">
        <v>24</v>
      </c>
      <c r="C85" s="49">
        <f>0</f>
        <v>0</v>
      </c>
      <c r="D85" s="57"/>
      <c r="E85" s="49">
        <f>0</f>
        <v>0</v>
      </c>
      <c r="F85" s="57"/>
      <c r="G85" s="51">
        <f>IF($E$67=0,"",100*$E85/$E$79)</f>
        <v>0</v>
      </c>
      <c r="H85" s="52">
        <f t="shared" si="8"/>
      </c>
    </row>
    <row r="86" ht="12.75">
      <c r="B86" s="23"/>
    </row>
    <row r="87" spans="2:8" ht="12.75">
      <c r="B87" s="60" t="s">
        <v>16</v>
      </c>
      <c r="C87" s="115" t="s">
        <v>17</v>
      </c>
      <c r="D87" s="116"/>
      <c r="E87" s="115" t="s">
        <v>1</v>
      </c>
      <c r="F87" s="116"/>
      <c r="G87" s="18" t="s">
        <v>22</v>
      </c>
      <c r="H87" s="18" t="s">
        <v>23</v>
      </c>
    </row>
    <row r="88" spans="2:8" ht="12.75">
      <c r="B88" s="60"/>
      <c r="C88" s="107" t="s">
        <v>72</v>
      </c>
      <c r="D88" s="117"/>
      <c r="E88" s="117"/>
      <c r="F88" s="118"/>
      <c r="G88" s="119" t="s">
        <v>4</v>
      </c>
      <c r="H88" s="120"/>
    </row>
    <row r="89" spans="2:8" ht="12.75">
      <c r="B89" s="24">
        <v>1</v>
      </c>
      <c r="C89" s="27">
        <v>2</v>
      </c>
      <c r="D89" s="28"/>
      <c r="E89" s="27">
        <v>3</v>
      </c>
      <c r="F89" s="28"/>
      <c r="G89" s="25">
        <v>4</v>
      </c>
      <c r="H89" s="25">
        <v>5</v>
      </c>
    </row>
    <row r="90" spans="2:8" ht="22.5">
      <c r="B90" s="65" t="s">
        <v>77</v>
      </c>
      <c r="C90" s="53">
        <f>2152604182.38</f>
        <v>2152604182.38</v>
      </c>
      <c r="D90" s="54"/>
      <c r="E90" s="53">
        <f>0</f>
        <v>0</v>
      </c>
      <c r="F90" s="47"/>
      <c r="G90" s="48"/>
      <c r="H90" s="40"/>
    </row>
    <row r="91" spans="2:8" ht="56.25">
      <c r="B91" s="98" t="s">
        <v>78</v>
      </c>
      <c r="C91" s="93">
        <f>52843647.79</f>
        <v>52843647.79</v>
      </c>
      <c r="D91" s="94"/>
      <c r="E91" s="93">
        <f>0</f>
        <v>0</v>
      </c>
      <c r="F91" s="94"/>
      <c r="G91" s="95"/>
      <c r="H91" s="96"/>
    </row>
    <row r="92" spans="2:8" ht="12.75">
      <c r="B92" s="98" t="s">
        <v>79</v>
      </c>
      <c r="C92" s="93">
        <f>1431358660.67</f>
        <v>1431358660.67</v>
      </c>
      <c r="D92" s="94"/>
      <c r="E92" s="93">
        <f>0</f>
        <v>0</v>
      </c>
      <c r="F92" s="94"/>
      <c r="G92" s="95"/>
      <c r="H92" s="96"/>
    </row>
    <row r="93" spans="2:8" ht="22.5">
      <c r="B93" s="98" t="s">
        <v>80</v>
      </c>
      <c r="C93" s="93">
        <f>0</f>
        <v>0</v>
      </c>
      <c r="D93" s="94"/>
      <c r="E93" s="93">
        <f>0</f>
        <v>0</v>
      </c>
      <c r="F93" s="94"/>
      <c r="G93" s="95"/>
      <c r="H93" s="96"/>
    </row>
    <row r="94" spans="2:8" ht="33.75">
      <c r="B94" s="98" t="s">
        <v>81</v>
      </c>
      <c r="C94" s="93">
        <f>122732298.4</f>
        <v>122732298.4</v>
      </c>
      <c r="D94" s="94"/>
      <c r="E94" s="93">
        <f>0</f>
        <v>0</v>
      </c>
      <c r="F94" s="94"/>
      <c r="G94" s="95"/>
      <c r="H94" s="96"/>
    </row>
    <row r="95" spans="2:8" ht="101.25">
      <c r="B95" s="98" t="s">
        <v>82</v>
      </c>
      <c r="C95" s="93">
        <f>545669575.52</f>
        <v>545669575.52</v>
      </c>
      <c r="D95" s="94"/>
      <c r="E95" s="93">
        <f>0</f>
        <v>0</v>
      </c>
      <c r="F95" s="94"/>
      <c r="G95" s="95"/>
      <c r="H95" s="96"/>
    </row>
    <row r="96" spans="2:8" ht="12.75">
      <c r="B96" s="60" t="s">
        <v>16</v>
      </c>
      <c r="C96" s="115" t="s">
        <v>17</v>
      </c>
      <c r="D96" s="116"/>
      <c r="E96" s="115" t="s">
        <v>1</v>
      </c>
      <c r="F96" s="116"/>
      <c r="G96" s="18" t="s">
        <v>22</v>
      </c>
      <c r="H96" s="18" t="s">
        <v>23</v>
      </c>
    </row>
    <row r="97" spans="2:8" ht="12.75">
      <c r="B97" s="60"/>
      <c r="C97" s="107" t="s">
        <v>72</v>
      </c>
      <c r="D97" s="117"/>
      <c r="E97" s="117"/>
      <c r="F97" s="118"/>
      <c r="G97" s="119" t="s">
        <v>4</v>
      </c>
      <c r="H97" s="120"/>
    </row>
    <row r="98" spans="2:8" ht="12.75">
      <c r="B98" s="24">
        <v>1</v>
      </c>
      <c r="C98" s="27">
        <v>2</v>
      </c>
      <c r="D98" s="28"/>
      <c r="E98" s="27">
        <v>3</v>
      </c>
      <c r="F98" s="28"/>
      <c r="G98" s="25">
        <v>4</v>
      </c>
      <c r="H98" s="25">
        <v>5</v>
      </c>
    </row>
    <row r="99" spans="2:8" ht="56.25">
      <c r="B99" s="65" t="s">
        <v>83</v>
      </c>
      <c r="C99" s="53">
        <f>0</f>
        <v>0</v>
      </c>
      <c r="D99" s="54"/>
      <c r="E99" s="53">
        <f>34838479.71</f>
        <v>34838479.71</v>
      </c>
      <c r="F99" s="47"/>
      <c r="G99" s="48"/>
      <c r="H99" s="40"/>
    </row>
    <row r="100" spans="2:8" ht="33.75">
      <c r="B100" s="64" t="s">
        <v>84</v>
      </c>
      <c r="C100" s="56">
        <f>0</f>
        <v>0</v>
      </c>
      <c r="D100" s="57"/>
      <c r="E100" s="56">
        <f>18157053.48</f>
        <v>18157053.48</v>
      </c>
      <c r="F100" s="57"/>
      <c r="G100" s="51"/>
      <c r="H100" s="52"/>
    </row>
    <row r="101" spans="2:8" ht="36" customHeight="1">
      <c r="B101" s="64" t="s">
        <v>85</v>
      </c>
      <c r="C101" s="56">
        <f>0</f>
        <v>0</v>
      </c>
      <c r="D101" s="57"/>
      <c r="E101" s="56">
        <f>10668343.63</f>
        <v>10668343.63</v>
      </c>
      <c r="F101" s="57"/>
      <c r="G101" s="51"/>
      <c r="H101" s="52"/>
    </row>
    <row r="102" spans="2:8" ht="69" customHeight="1">
      <c r="B102" s="64" t="s">
        <v>86</v>
      </c>
      <c r="C102" s="56">
        <f>0</f>
        <v>0</v>
      </c>
      <c r="D102" s="57"/>
      <c r="E102" s="56">
        <f>5983919</f>
        <v>5983919</v>
      </c>
      <c r="F102" s="57"/>
      <c r="G102" s="51"/>
      <c r="H102" s="52"/>
    </row>
    <row r="103" spans="2:8" ht="45">
      <c r="B103" s="64" t="s">
        <v>87</v>
      </c>
      <c r="C103" s="56">
        <f>0</f>
        <v>0</v>
      </c>
      <c r="D103" s="57"/>
      <c r="E103" s="56">
        <f>0</f>
        <v>0</v>
      </c>
      <c r="F103" s="57"/>
      <c r="G103" s="51"/>
      <c r="H103" s="52"/>
    </row>
    <row r="104" spans="2:8" ht="56.25">
      <c r="B104" s="99" t="s">
        <v>88</v>
      </c>
      <c r="C104" s="93">
        <f>0</f>
        <v>0</v>
      </c>
      <c r="D104" s="94"/>
      <c r="E104" s="93">
        <f>0</f>
        <v>0</v>
      </c>
      <c r="F104" s="94"/>
      <c r="G104" s="95"/>
      <c r="H104" s="96"/>
    </row>
    <row r="105" spans="2:8" ht="45">
      <c r="B105" s="99" t="s">
        <v>89</v>
      </c>
      <c r="C105" s="93">
        <f>0</f>
        <v>0</v>
      </c>
      <c r="D105" s="94"/>
      <c r="E105" s="93">
        <f>0</f>
        <v>0</v>
      </c>
      <c r="F105" s="94"/>
      <c r="G105" s="95"/>
      <c r="H105" s="96"/>
    </row>
    <row r="106" spans="2:8" ht="90">
      <c r="B106" s="99" t="s">
        <v>90</v>
      </c>
      <c r="C106" s="93">
        <f>0</f>
        <v>0</v>
      </c>
      <c r="D106" s="94"/>
      <c r="E106" s="93">
        <f>5871317.53</f>
        <v>5871317.53</v>
      </c>
      <c r="F106" s="94"/>
      <c r="G106" s="95"/>
      <c r="H106" s="96"/>
    </row>
  </sheetData>
  <sheetProtection/>
  <mergeCells count="44">
    <mergeCell ref="C97:F97"/>
    <mergeCell ref="G97:H97"/>
    <mergeCell ref="C87:D87"/>
    <mergeCell ref="E87:F87"/>
    <mergeCell ref="C88:F88"/>
    <mergeCell ref="G88:H88"/>
    <mergeCell ref="C96:D96"/>
    <mergeCell ref="E96:F96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4:D64"/>
    <mergeCell ref="E64:F64"/>
    <mergeCell ref="C65:F65"/>
    <mergeCell ref="G65:H65"/>
    <mergeCell ref="I43:J43"/>
    <mergeCell ref="B1:M1"/>
    <mergeCell ref="B63:M63"/>
    <mergeCell ref="I39:J41"/>
    <mergeCell ref="D39:D41"/>
    <mergeCell ref="E39:E41"/>
    <mergeCell ref="F40:F41"/>
    <mergeCell ref="F39:H39"/>
    <mergeCell ref="G40:H40"/>
    <mergeCell ref="I48:J48"/>
    <mergeCell ref="I50:J50"/>
    <mergeCell ref="I51:J51"/>
    <mergeCell ref="I44:J44"/>
    <mergeCell ref="I45:J45"/>
    <mergeCell ref="I46:J46"/>
    <mergeCell ref="I47:J47"/>
    <mergeCell ref="I52:J52"/>
    <mergeCell ref="I53:J53"/>
    <mergeCell ref="I55:J55"/>
    <mergeCell ref="I56:J56"/>
    <mergeCell ref="I54:J54"/>
    <mergeCell ref="I49:J49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4" manualBreakCount="4">
    <brk id="36" max="255" man="1"/>
    <brk id="62" max="255" man="1"/>
    <brk id="86" max="255" man="1"/>
    <brk id="95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2017-03-30T11:49:59Z</cp:lastPrinted>
  <dcterms:created xsi:type="dcterms:W3CDTF">2001-05-17T08:58:03Z</dcterms:created>
  <dcterms:modified xsi:type="dcterms:W3CDTF">2018-05-25T10:47:06Z</dcterms:modified>
  <cp:category/>
  <cp:version/>
  <cp:contentType/>
  <cp:contentStatus/>
</cp:coreProperties>
</file>