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znojkie\Desktop\"/>
    </mc:Choice>
  </mc:AlternateContent>
  <xr:revisionPtr revIDLastSave="0" documentId="8_{DFB08806-0B4E-43E4-BC5D-33C6EF713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OM" sheetId="1" r:id="rId1"/>
  </sheets>
  <definedNames>
    <definedName name="_xlnm.Print_Area" localSheetId="0">FPOM!$A$1:$K$76</definedName>
    <definedName name="_xlnm.Print_Titles" localSheetId="0">FPOM!$2:$2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64" i="1"/>
  <c r="J22" i="1"/>
  <c r="K59" i="1"/>
  <c r="K21" i="1"/>
  <c r="K14" i="1"/>
  <c r="K7" i="1"/>
  <c r="K72" i="1"/>
  <c r="K71" i="1"/>
  <c r="K70" i="1"/>
  <c r="J68" i="1"/>
  <c r="I68" i="1"/>
  <c r="K65" i="1"/>
  <c r="J64" i="1"/>
  <c r="I64" i="1"/>
  <c r="J62" i="1"/>
  <c r="I62" i="1"/>
  <c r="K61" i="1"/>
  <c r="J60" i="1"/>
  <c r="I60" i="1"/>
  <c r="J51" i="1"/>
  <c r="I51" i="1"/>
  <c r="J49" i="1"/>
  <c r="I49" i="1"/>
  <c r="K48" i="1"/>
  <c r="J47" i="1"/>
  <c r="I47" i="1"/>
  <c r="K44" i="1"/>
  <c r="J43" i="1"/>
  <c r="I43" i="1"/>
  <c r="K42" i="1"/>
  <c r="J41" i="1"/>
  <c r="I41" i="1"/>
  <c r="J37" i="1"/>
  <c r="I37" i="1"/>
  <c r="K35" i="1"/>
  <c r="J34" i="1"/>
  <c r="I34" i="1"/>
  <c r="K33" i="1"/>
  <c r="J32" i="1"/>
  <c r="I32" i="1"/>
  <c r="K31" i="1"/>
  <c r="K30" i="1"/>
  <c r="K29" i="1"/>
  <c r="J28" i="1"/>
  <c r="I28" i="1"/>
  <c r="K27" i="1"/>
  <c r="K26" i="1"/>
  <c r="K25" i="1"/>
  <c r="J24" i="1"/>
  <c r="I24" i="1"/>
  <c r="K20" i="1"/>
  <c r="K19" i="1"/>
  <c r="K18" i="1"/>
  <c r="K16" i="1"/>
  <c r="I10" i="1"/>
  <c r="I4" i="1" s="1"/>
  <c r="K12" i="1"/>
  <c r="J10" i="1"/>
  <c r="K11" i="1"/>
  <c r="K5" i="1"/>
  <c r="K3" i="1"/>
  <c r="H3" i="1"/>
  <c r="K43" i="1" l="1"/>
  <c r="K24" i="1"/>
  <c r="K34" i="1"/>
  <c r="K68" i="1"/>
  <c r="K64" i="1"/>
  <c r="K60" i="1"/>
  <c r="K51" i="1"/>
  <c r="K47" i="1"/>
  <c r="K41" i="1"/>
  <c r="K32" i="1"/>
  <c r="K28" i="1"/>
  <c r="J23" i="1"/>
  <c r="I23" i="1"/>
  <c r="I22" i="1" s="1"/>
  <c r="J4" i="1"/>
  <c r="K10" i="1"/>
  <c r="I74" i="1" l="1"/>
  <c r="I76" i="1"/>
  <c r="K23" i="1"/>
  <c r="K4" i="1"/>
  <c r="K22" i="1" l="1"/>
  <c r="J76" i="1"/>
  <c r="K76" i="1" s="1"/>
  <c r="J74" i="1"/>
  <c r="K74" i="1" s="1"/>
  <c r="F75" i="1"/>
  <c r="H75" i="1" s="1"/>
  <c r="G15" i="1"/>
  <c r="F15" i="1"/>
  <c r="G12" i="1"/>
  <c r="F12" i="1"/>
  <c r="H5" i="1"/>
  <c r="H6" i="1"/>
  <c r="H7" i="1"/>
  <c r="H11" i="1"/>
  <c r="H16" i="1"/>
  <c r="H18" i="1"/>
  <c r="H19" i="1"/>
  <c r="H20" i="1"/>
  <c r="H25" i="1"/>
  <c r="H26" i="1"/>
  <c r="H27" i="1"/>
  <c r="H29" i="1"/>
  <c r="H30" i="1"/>
  <c r="H31" i="1"/>
  <c r="H33" i="1"/>
  <c r="H35" i="1"/>
  <c r="H36" i="1"/>
  <c r="H38" i="1"/>
  <c r="H39" i="1"/>
  <c r="H40" i="1"/>
  <c r="H42" i="1"/>
  <c r="H44" i="1"/>
  <c r="H45" i="1"/>
  <c r="H46" i="1"/>
  <c r="H48" i="1"/>
  <c r="H50" i="1"/>
  <c r="H53" i="1"/>
  <c r="H54" i="1"/>
  <c r="H55" i="1"/>
  <c r="H56" i="1"/>
  <c r="H57" i="1"/>
  <c r="H58" i="1"/>
  <c r="H61" i="1"/>
  <c r="H63" i="1"/>
  <c r="H65" i="1"/>
  <c r="H66" i="1"/>
  <c r="H70" i="1"/>
  <c r="H71" i="1"/>
  <c r="H72" i="1"/>
  <c r="E7" i="1"/>
  <c r="E8" i="1"/>
  <c r="E11" i="1"/>
  <c r="E18" i="1"/>
  <c r="E21" i="1"/>
  <c r="E25" i="1"/>
  <c r="E26" i="1"/>
  <c r="E27" i="1"/>
  <c r="E29" i="1"/>
  <c r="E30" i="1"/>
  <c r="E31" i="1"/>
  <c r="E33" i="1"/>
  <c r="E35" i="1"/>
  <c r="E36" i="1"/>
  <c r="E38" i="1"/>
  <c r="E39" i="1"/>
  <c r="E40" i="1"/>
  <c r="E42" i="1"/>
  <c r="E44" i="1"/>
  <c r="E45" i="1"/>
  <c r="E48" i="1"/>
  <c r="E50" i="1"/>
  <c r="E52" i="1"/>
  <c r="E61" i="1"/>
  <c r="E63" i="1"/>
  <c r="E67" i="1"/>
  <c r="E71" i="1"/>
  <c r="E72" i="1"/>
  <c r="E5" i="1"/>
  <c r="D68" i="1"/>
  <c r="F68" i="1"/>
  <c r="G68" i="1"/>
  <c r="C68" i="1"/>
  <c r="D12" i="1"/>
  <c r="D10" i="1" s="1"/>
  <c r="D4" i="1" s="1"/>
  <c r="C15" i="1"/>
  <c r="E15" i="1" s="1"/>
  <c r="C12" i="1"/>
  <c r="D24" i="1"/>
  <c r="D28" i="1"/>
  <c r="D32" i="1"/>
  <c r="D34" i="1"/>
  <c r="D37" i="1"/>
  <c r="D41" i="1"/>
  <c r="D43" i="1"/>
  <c r="D47" i="1"/>
  <c r="D49" i="1"/>
  <c r="D51" i="1"/>
  <c r="D60" i="1"/>
  <c r="D62" i="1"/>
  <c r="D23" i="1" l="1"/>
  <c r="H15" i="1"/>
  <c r="G10" i="1"/>
  <c r="F10" i="1"/>
  <c r="H12" i="1"/>
  <c r="E68" i="1"/>
  <c r="H68" i="1"/>
  <c r="E12" i="1"/>
  <c r="C10" i="1"/>
  <c r="C4" i="1" s="1"/>
  <c r="E4" i="1" s="1"/>
  <c r="G51" i="1"/>
  <c r="C51" i="1"/>
  <c r="E51" i="1" s="1"/>
  <c r="G43" i="1"/>
  <c r="G41" i="1"/>
  <c r="G34" i="1"/>
  <c r="AS3" i="1"/>
  <c r="F49" i="1"/>
  <c r="F41" i="1"/>
  <c r="F34" i="1"/>
  <c r="F32" i="1"/>
  <c r="G64" i="1"/>
  <c r="G62" i="1"/>
  <c r="G60" i="1"/>
  <c r="G49" i="1"/>
  <c r="G47" i="1"/>
  <c r="G37" i="1"/>
  <c r="G32" i="1"/>
  <c r="G28" i="1"/>
  <c r="G24" i="1"/>
  <c r="C62" i="1"/>
  <c r="E62" i="1" s="1"/>
  <c r="C60" i="1"/>
  <c r="E60" i="1" s="1"/>
  <c r="C49" i="1"/>
  <c r="E49" i="1" s="1"/>
  <c r="C41" i="1"/>
  <c r="E41" i="1" s="1"/>
  <c r="C28" i="1"/>
  <c r="E28" i="1" s="1"/>
  <c r="C24" i="1"/>
  <c r="C37" i="1"/>
  <c r="E37" i="1" s="1"/>
  <c r="E24" i="1" l="1"/>
  <c r="G4" i="1"/>
  <c r="H10" i="1"/>
  <c r="H32" i="1"/>
  <c r="H34" i="1"/>
  <c r="F4" i="1"/>
  <c r="H49" i="1"/>
  <c r="H41" i="1"/>
  <c r="E10" i="1"/>
  <c r="D22" i="1"/>
  <c r="F51" i="1"/>
  <c r="F37" i="1"/>
  <c r="F24" i="1"/>
  <c r="F62" i="1"/>
  <c r="F28" i="1"/>
  <c r="F64" i="1"/>
  <c r="F47" i="1"/>
  <c r="F43" i="1"/>
  <c r="F60" i="1"/>
  <c r="G23" i="1"/>
  <c r="D76" i="1" l="1"/>
  <c r="H64" i="1"/>
  <c r="G22" i="1"/>
  <c r="G74" i="1" s="1"/>
  <c r="H60" i="1"/>
  <c r="H62" i="1"/>
  <c r="H51" i="1"/>
  <c r="H43" i="1"/>
  <c r="H47" i="1"/>
  <c r="H28" i="1"/>
  <c r="H24" i="1"/>
  <c r="H37" i="1"/>
  <c r="H4" i="1"/>
  <c r="D74" i="1"/>
  <c r="F23" i="1"/>
  <c r="AT3" i="1"/>
  <c r="G76" i="1" l="1"/>
  <c r="F22" i="1"/>
  <c r="H23" i="1"/>
  <c r="C43" i="1"/>
  <c r="C34" i="1"/>
  <c r="C32" i="1"/>
  <c r="E43" i="1" l="1"/>
  <c r="E32" i="1"/>
  <c r="E34" i="1"/>
  <c r="H22" i="1"/>
  <c r="F76" i="1"/>
  <c r="H76" i="1" s="1"/>
  <c r="F74" i="1"/>
  <c r="H74" i="1" s="1"/>
  <c r="C47" i="1"/>
  <c r="C23" i="1" l="1"/>
  <c r="E47" i="1"/>
  <c r="C22" i="1" l="1"/>
  <c r="E23" i="1"/>
  <c r="E22" i="1" l="1"/>
  <c r="C76" i="1"/>
  <c r="C74" i="1"/>
</calcChain>
</file>

<file path=xl/sharedStrings.xml><?xml version="1.0" encoding="utf-8"?>
<sst xmlns="http://schemas.openxmlformats.org/spreadsheetml/2006/main" count="216" uniqueCount="150">
  <si>
    <t>Wpłaty z budżetu państwa</t>
  </si>
  <si>
    <t>Wpływy ze skarbowych papierów wartościowych, o których mowa w art. 15 Ustawy</t>
  </si>
  <si>
    <t>Wpływy z emisji obligacji</t>
  </si>
  <si>
    <t>Odsetki</t>
  </si>
  <si>
    <t>Finansowanie przejściowe</t>
  </si>
  <si>
    <t>1.</t>
  </si>
  <si>
    <t>2.</t>
  </si>
  <si>
    <t>7.</t>
  </si>
  <si>
    <t>III.</t>
  </si>
  <si>
    <t>Lp</t>
  </si>
  <si>
    <t>Wyszczególnienie</t>
  </si>
  <si>
    <t>I.</t>
  </si>
  <si>
    <t>Stan środków (początek okresu)</t>
  </si>
  <si>
    <t>II.</t>
  </si>
  <si>
    <t>WPŁYWY</t>
  </si>
  <si>
    <t>3.</t>
  </si>
  <si>
    <t>4.</t>
  </si>
  <si>
    <t>5.</t>
  </si>
  <si>
    <t>6.</t>
  </si>
  <si>
    <t>Wpłaty środków pieniężnych jednostek sektora finansów publicznych, o których mowa w art. 9 pkt 5–8 i 14 ustawy z dnia 27 sierpnia 2009 r. o finansach publicznych, z wyłączeniem samorządowych osób prawnych, z wyjątkiem środków pochodzących z dotacji z budżetu i środków, o których mowa w art. 5 ust. 1 pkt 2 i 3 ustawy z dnia 27 sierpnia 2009 r. o finansach publicznych</t>
  </si>
  <si>
    <t>nominał</t>
  </si>
  <si>
    <t>dyskonto</t>
  </si>
  <si>
    <t>premia</t>
  </si>
  <si>
    <t>odsetki</t>
  </si>
  <si>
    <t>prowizja agenta emisji</t>
  </si>
  <si>
    <t>Darowizny</t>
  </si>
  <si>
    <t>8.</t>
  </si>
  <si>
    <t>9.</t>
  </si>
  <si>
    <t>10.</t>
  </si>
  <si>
    <t>1.1</t>
  </si>
  <si>
    <t>1.1.1</t>
  </si>
  <si>
    <t>1.2</t>
  </si>
  <si>
    <t>1.2.1</t>
  </si>
  <si>
    <t>1.2.2</t>
  </si>
  <si>
    <t>1.2.3</t>
  </si>
  <si>
    <t>1.3</t>
  </si>
  <si>
    <t>1.3.1</t>
  </si>
  <si>
    <t>1.4</t>
  </si>
  <si>
    <t>1.4.1</t>
  </si>
  <si>
    <t>Środki pochodzące ze źródeł zagranicznych niepodlegających zwrotowi, o których mowa w art. 5 ust. 1 pkt 3 ustawy z dnia 27 sierpnia 2009 r. o finansach publicznych</t>
  </si>
  <si>
    <t>Inne wpływy</t>
  </si>
  <si>
    <t>Minister właściwy ds. rodziny</t>
  </si>
  <si>
    <t>świadczenia rodzinne</t>
  </si>
  <si>
    <t>Minister właściwy ds. zabezpieczenia społecznego</t>
  </si>
  <si>
    <t>wypłata jednorazowego świadczenia pieniężnego</t>
  </si>
  <si>
    <t>świadczenia z pomocy społecznej</t>
  </si>
  <si>
    <t>Zakład Ubezpieczeń Społecznych</t>
  </si>
  <si>
    <t>Minister właściwy ds. zdrowia</t>
  </si>
  <si>
    <t>Prezes Rady Ministrów</t>
  </si>
  <si>
    <t>Szef Kancelarii Prezesa Rady Ministrów</t>
  </si>
  <si>
    <t>Minister właściwy ds. wewnętrznych</t>
  </si>
  <si>
    <t>Minister właściwy ds. oświaty i wychowania</t>
  </si>
  <si>
    <t>stypendia i zasiłki dla uczniów z Ukrainy (szkoły)</t>
  </si>
  <si>
    <t>Minister właściwy ds. finansów publicznych</t>
  </si>
  <si>
    <t>Obsługa obligacji</t>
  </si>
  <si>
    <t>3.1</t>
  </si>
  <si>
    <t>3.2</t>
  </si>
  <si>
    <t>3.3</t>
  </si>
  <si>
    <t>IV.</t>
  </si>
  <si>
    <t>V.</t>
  </si>
  <si>
    <t>Wynagrodzenie prowizyjne dla BGK</t>
  </si>
  <si>
    <t>Saldo przepływów w danym okresie</t>
  </si>
  <si>
    <t>Stan środków (koniec okresu)</t>
  </si>
  <si>
    <t>1.5</t>
  </si>
  <si>
    <t>1.6</t>
  </si>
  <si>
    <t>1.7</t>
  </si>
  <si>
    <t>1.7.1</t>
  </si>
  <si>
    <t>1.8</t>
  </si>
  <si>
    <t>1.8.1</t>
  </si>
  <si>
    <t>1.9</t>
  </si>
  <si>
    <t>1.9.1</t>
  </si>
  <si>
    <t>zadania realizowane i koordynowane przez ministra właściwego do spraw wewnętrznych w ramach ustawy o pomocy obywatelom Ukrainy w związku z konfliktem zbrojnym na terytorium tego państwa</t>
  </si>
  <si>
    <t>1.1.2</t>
  </si>
  <si>
    <t>1.1.3</t>
  </si>
  <si>
    <t>dzieci cudzoziemskie</t>
  </si>
  <si>
    <t>Realizacja rządowego programu "Bezpieczny transport"</t>
  </si>
  <si>
    <t>1.6.1</t>
  </si>
  <si>
    <t>1.6.2</t>
  </si>
  <si>
    <t>inne zadania</t>
  </si>
  <si>
    <t>1.10</t>
  </si>
  <si>
    <t>1.10.1</t>
  </si>
  <si>
    <t>pozostałe zadania realizowane i koordynowane przez ministra właściwego do spraw rodziny w ramach ustawy o pomocy obywatelom Ukrainy w związku z konfliktem zbrojnym na terytorium tego państwa</t>
  </si>
  <si>
    <t>realizacja działań w obszarze resortu infrastruktury na rzecz pomocy Ukrainie</t>
  </si>
  <si>
    <t>środki dla Rządowej Agencji Rezerw Strategicznych</t>
  </si>
  <si>
    <t>1.6.3</t>
  </si>
  <si>
    <t>1.11</t>
  </si>
  <si>
    <t>1.11.1</t>
  </si>
  <si>
    <t>Minister właściwy ds. rolnictwa, rozwoju wsi i rynków rolnych</t>
  </si>
  <si>
    <t>1.12</t>
  </si>
  <si>
    <t>1.12.1</t>
  </si>
  <si>
    <t>Minister właściwy ds. informatyzacji</t>
  </si>
  <si>
    <t>1.8.2</t>
  </si>
  <si>
    <t>1.8.3</t>
  </si>
  <si>
    <t xml:space="preserve">materiały edukacyjne dla uczniów z Ukrainy </t>
  </si>
  <si>
    <t>Minister właściwy ds. transportu</t>
  </si>
  <si>
    <t>1.13</t>
  </si>
  <si>
    <t>1.13.1</t>
  </si>
  <si>
    <t xml:space="preserve">Minister właściwy ds. energii </t>
  </si>
  <si>
    <t>dostarczenie do stacji kolejowej Mościska II w obwodzie Lwowskim w Ukrainie węgla kamiennego w celach humanitarnych w związku z konfliktem zbrojnym na Ukrainie</t>
  </si>
  <si>
    <t>1.11.2</t>
  </si>
  <si>
    <t>1.11.3</t>
  </si>
  <si>
    <t>pomoc dla producenta rolnego, o której mowa w §13zw rozporządzenia Rady Ministrów w sprawie szczegółowego zakresu i sposobów realizacji niektórych zadań Agencji Restrukturyzacji i Modernizacji Rolnictwa dotycząca sprzedaży zbóż</t>
  </si>
  <si>
    <t>1.14</t>
  </si>
  <si>
    <t>1.14.1</t>
  </si>
  <si>
    <t>1.14.2</t>
  </si>
  <si>
    <t>zabezpieczenie obiektów historycznych lub zabytkowych oraz digitalizacji obiektów materialnego i niematerialnego dziedzictwa kulturowego w Ukrainie</t>
  </si>
  <si>
    <t>Polskie Radio dla Ukrainy</t>
  </si>
  <si>
    <t>Minister właściwy ds. kultury i ochrony dziedzictwa narodowego</t>
  </si>
  <si>
    <t>pozostałe zadania realizowane i koordynowane przez ministra właściwego do spraw zabezpieczenia społecznego w ramach ustawy o pomocy obywatelom Ukrainy w związku z konfliktem zbrojnym na terytorium tego państwa</t>
  </si>
  <si>
    <t>wsparcie organizacji przez polskie uczelnie ukraińskiego egzaminu maturalnego dla obywateli Ukrainy przebywających na terenie Polski</t>
  </si>
  <si>
    <t>11.</t>
  </si>
  <si>
    <t>Zwroty środków dotyczące lat ubiegłych, przeksięgowane z rachunków pomocniczych</t>
  </si>
  <si>
    <t>VI.</t>
  </si>
  <si>
    <t>Różnice kursowe</t>
  </si>
  <si>
    <t>1.11.4</t>
  </si>
  <si>
    <t>1.11.5</t>
  </si>
  <si>
    <t>1.11.6</t>
  </si>
  <si>
    <t>1.11.7</t>
  </si>
  <si>
    <t>zapłata za sprzedaną kukurydzę</t>
  </si>
  <si>
    <t xml:space="preserve">dodatkowe koszty związane z zakupem mokrej kukurydzy </t>
  </si>
  <si>
    <t>dopłaty do innych zbóż i nasion oleistych</t>
  </si>
  <si>
    <t>pomoc - transport zbóż i rzepaku</t>
  </si>
  <si>
    <t>Odsetki z tytułu udzielenia finansowania przejściowego</t>
  </si>
  <si>
    <t>Odsetki i inne wpływy przekazane przez dysponentów</t>
  </si>
  <si>
    <t>1.11.8</t>
  </si>
  <si>
    <t>pomoc dla producentów zbóż, którym zagraża utrata płynności finansowej w związku z ograniczeniami na rynku rolnym spowodowanymi agresją Federacji Rosysjkiej wobec Ukrainy</t>
  </si>
  <si>
    <t>12.</t>
  </si>
  <si>
    <r>
      <t>wsparcie jednostek samorządu terytorialnego w realizacji dodatkowych zadań oświatowych, zgodnie z art. 50 ust. 6 ustawy z dnia 12 marca 2022 r. o pomocy obywatelom Ukrainy w związku z konfliktem zbrojnym na terytorium tego państwa</t>
    </r>
    <r>
      <rPr>
        <i/>
        <sz val="11"/>
        <color rgb="FF0070C0"/>
        <rFont val="Calibri"/>
        <family val="2"/>
        <charset val="238"/>
        <scheme val="minor"/>
      </rPr>
      <t xml:space="preserve"> </t>
    </r>
  </si>
  <si>
    <t>WYKONANIE 2022</t>
  </si>
  <si>
    <t>WYKONANIE 2023</t>
  </si>
  <si>
    <t>PLAN 2022
po zmianach</t>
  </si>
  <si>
    <t>PLAN 2023
po zmianach</t>
  </si>
  <si>
    <t>x</t>
  </si>
  <si>
    <t>% realizacji 2022</t>
  </si>
  <si>
    <t>% realizacji 2023</t>
  </si>
  <si>
    <t>WYDATKI OGÓŁEM</t>
  </si>
  <si>
    <t>WYDATKI DYSPONENTÓW</t>
  </si>
  <si>
    <t>WYKONANIE 2024</t>
  </si>
  <si>
    <t>% realizacji 2024</t>
  </si>
  <si>
    <t>PLAN 2024 
po zmianach</t>
  </si>
  <si>
    <t xml:space="preserve">Środki, o których mowa w art. 5 ust. 1 pkt 2 ustawy z dnia 27 sierpnia 2009 r. o finansach publicznych, które za zgodą Komisji Europejskiej mogą zostać przeznaczone na wparcie realizacji zadań Funduszu Pomocy </t>
  </si>
  <si>
    <t>finansowanie świadczeń opieki zdrowotnej oraz produktów leczniczych, o których mowa w art. 37 ustawy z dnia 12 marca 2022 r. o pomocy obywatelom Ukrainy w związku z konfliktem zbrojnym na terytorium tego państwa, a także pozostałych zadań realizowanych przez ministra właściwego do spraw zdrowia realizowanych w ramach przedmiotowej ustawy</t>
  </si>
  <si>
    <t xml:space="preserve">pomoc finansowa udzielana przez Agencję Restrukturyzacji i Modernizacji Rolnictwa producentowi rolnemu na dofinansowanie zakupu w okresie od 1 września 2021 r. do dnia 15 maja 2022 r. nawozów mineralnych innych niż wapno nawozowe i wapno nawozowe zawierające magnez od podmiotów prowadzących działaność w zakresie obrotu lub sprzedaży nawozów </t>
  </si>
  <si>
    <r>
      <t>kapitał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</si>
  <si>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prowizje, opłaty, inne koszty emisji</t>
  </si>
  <si>
    <t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zawierające magnez od podmiotów prowadzących działalność w zakresie obrotu nawozami lub sprzedaży nawozów</t>
  </si>
  <si>
    <t>realizacja działań w obszarze informatyzacji na rzecz pomocy Ukrainie</t>
  </si>
  <si>
    <t xml:space="preserve">5. </t>
  </si>
  <si>
    <t>Korekta z tytułu przeksięgowań dotyczących sprawozdania za 2023 r.</t>
  </si>
  <si>
    <r>
      <t xml:space="preserve">świadczenia, o których mowa w art. 26 ust. 1 </t>
    </r>
    <r>
      <rPr>
        <i/>
        <u/>
        <sz val="11"/>
        <color theme="1"/>
        <rFont val="Calibri"/>
        <family val="2"/>
        <charset val="238"/>
        <scheme val="minor"/>
      </rPr>
      <t xml:space="preserve">pkt 2-5 </t>
    </r>
    <r>
      <rPr>
        <u/>
        <sz val="11"/>
        <color theme="1"/>
        <rFont val="Calibri"/>
        <family val="2"/>
        <charset val="238"/>
        <scheme val="minor"/>
      </rPr>
      <t>(pkt 2-6 po zmianie planu na 2024)</t>
    </r>
    <r>
      <rPr>
        <i/>
        <sz val="11"/>
        <color theme="1"/>
        <rFont val="Calibri"/>
        <family val="2"/>
        <charset val="238"/>
        <scheme val="minor"/>
      </rPr>
      <t xml:space="preserve"> ustawy z dnia 12 marca 2022 r. o pomocy obywatelom Ukrainy w związku z konfliktem zbrojnym na terytorium tego państwa wypłacane przez Zakład Ubezpieczeń Społecznych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</si>
</sst>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#,##0.00_ ;\-#,##0.00\ "/>
    <numFmt numFmtId="167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3" fillId="0" borderId="12" xfId="0" quotePrefix="1" applyNumberFormat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49" fontId="3" fillId="0" borderId="12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" fontId="0" fillId="4" borderId="12" xfId="0" quotePrefix="1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2" xfId="0" quotePrefix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0" borderId="2" xfId="1" applyFont="1" applyFill="1" applyBorder="1" applyAlignment="1">
      <alignment vertical="center"/>
    </xf>
    <xf numFmtId="164" fontId="2" fillId="0" borderId="17" xfId="1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18" xfId="0" quotePrefix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6" fontId="0" fillId="0" borderId="0" xfId="0" applyNumberFormat="1"/>
    <xf numFmtId="166" fontId="8" fillId="0" borderId="2" xfId="1" applyNumberFormat="1" applyFont="1" applyFill="1" applyBorder="1" applyAlignment="1">
      <alignment vertical="center"/>
    </xf>
    <xf numFmtId="166" fontId="8" fillId="0" borderId="2" xfId="1" applyNumberFormat="1" applyFont="1" applyFill="1" applyBorder="1" applyAlignment="1">
      <alignment horizontal="center" vertical="center"/>
    </xf>
    <xf numFmtId="167" fontId="8" fillId="0" borderId="2" xfId="2" applyNumberFormat="1" applyFont="1" applyFill="1" applyBorder="1" applyAlignment="1">
      <alignment horizontal="center" vertical="center"/>
    </xf>
    <xf numFmtId="166" fontId="8" fillId="2" borderId="2" xfId="1" applyNumberFormat="1" applyFont="1" applyFill="1" applyBorder="1" applyAlignment="1">
      <alignment vertical="center"/>
    </xf>
    <xf numFmtId="167" fontId="8" fillId="2" borderId="2" xfId="2" applyNumberFormat="1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vertical="center"/>
    </xf>
    <xf numFmtId="167" fontId="8" fillId="0" borderId="7" xfId="2" applyNumberFormat="1" applyFont="1" applyBorder="1" applyAlignment="1">
      <alignment horizontal="center" vertical="center"/>
    </xf>
    <xf numFmtId="166" fontId="8" fillId="0" borderId="8" xfId="1" applyNumberFormat="1" applyFont="1" applyBorder="1" applyAlignment="1">
      <alignment vertical="center"/>
    </xf>
    <xf numFmtId="9" fontId="8" fillId="0" borderId="8" xfId="2" applyFont="1" applyBorder="1" applyAlignment="1">
      <alignment horizontal="center" vertical="center"/>
    </xf>
    <xf numFmtId="167" fontId="8" fillId="0" borderId="8" xfId="2" applyNumberFormat="1" applyFont="1" applyBorder="1" applyAlignment="1">
      <alignment horizontal="center" vertical="center"/>
    </xf>
    <xf numFmtId="166" fontId="10" fillId="0" borderId="8" xfId="1" applyNumberFormat="1" applyFont="1" applyBorder="1" applyAlignment="1">
      <alignment vertical="center"/>
    </xf>
    <xf numFmtId="167" fontId="10" fillId="0" borderId="8" xfId="2" applyNumberFormat="1" applyFont="1" applyBorder="1" applyAlignment="1">
      <alignment horizontal="center" vertical="center"/>
    </xf>
    <xf numFmtId="166" fontId="11" fillId="0" borderId="8" xfId="1" applyNumberFormat="1" applyFont="1" applyBorder="1" applyAlignment="1">
      <alignment vertical="center"/>
    </xf>
    <xf numFmtId="9" fontId="10" fillId="0" borderId="8" xfId="2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6" fontId="12" fillId="0" borderId="8" xfId="1" applyNumberFormat="1" applyFont="1" applyBorder="1" applyAlignment="1">
      <alignment vertical="center"/>
    </xf>
    <xf numFmtId="166" fontId="8" fillId="0" borderId="16" xfId="1" applyNumberFormat="1" applyFont="1" applyBorder="1" applyAlignment="1">
      <alignment vertical="center"/>
    </xf>
    <xf numFmtId="167" fontId="8" fillId="0" borderId="16" xfId="2" applyNumberFormat="1" applyFont="1" applyBorder="1" applyAlignment="1">
      <alignment horizontal="center" vertical="center"/>
    </xf>
    <xf numFmtId="166" fontId="8" fillId="0" borderId="10" xfId="1" applyNumberFormat="1" applyFont="1" applyBorder="1" applyAlignment="1">
      <alignment vertical="center"/>
    </xf>
    <xf numFmtId="167" fontId="8" fillId="0" borderId="10" xfId="2" applyNumberFormat="1" applyFont="1" applyBorder="1" applyAlignment="1">
      <alignment horizontal="center" vertical="center"/>
    </xf>
    <xf numFmtId="166" fontId="10" fillId="4" borderId="8" xfId="1" applyNumberFormat="1" applyFont="1" applyFill="1" applyBorder="1" applyAlignment="1">
      <alignment vertical="center"/>
    </xf>
    <xf numFmtId="167" fontId="10" fillId="4" borderId="8" xfId="2" applyNumberFormat="1" applyFont="1" applyFill="1" applyBorder="1" applyAlignment="1">
      <alignment horizontal="center" vertical="center"/>
    </xf>
    <xf numFmtId="166" fontId="13" fillId="0" borderId="8" xfId="1" applyNumberFormat="1" applyFont="1" applyBorder="1" applyAlignment="1">
      <alignment vertical="center"/>
    </xf>
    <xf numFmtId="167" fontId="13" fillId="0" borderId="8" xfId="2" applyNumberFormat="1" applyFont="1" applyBorder="1" applyAlignment="1">
      <alignment horizontal="center" vertical="center"/>
    </xf>
    <xf numFmtId="166" fontId="14" fillId="0" borderId="8" xfId="1" applyNumberFormat="1" applyFont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3" fillId="0" borderId="8" xfId="1" applyNumberFormat="1" applyFont="1" applyFill="1" applyBorder="1" applyAlignment="1">
      <alignment vertical="center"/>
    </xf>
    <xf numFmtId="167" fontId="13" fillId="0" borderId="8" xfId="2" applyNumberFormat="1" applyFont="1" applyFill="1" applyBorder="1" applyAlignment="1">
      <alignment horizontal="center" vertical="center"/>
    </xf>
    <xf numFmtId="166" fontId="14" fillId="0" borderId="8" xfId="1" applyNumberFormat="1" applyFont="1" applyFill="1" applyBorder="1" applyAlignment="1">
      <alignment vertical="center"/>
    </xf>
    <xf numFmtId="166" fontId="14" fillId="0" borderId="9" xfId="1" applyNumberFormat="1" applyFont="1" applyBorder="1" applyAlignment="1">
      <alignment vertical="center"/>
    </xf>
    <xf numFmtId="167" fontId="13" fillId="0" borderId="9" xfId="2" applyNumberFormat="1" applyFont="1" applyBorder="1" applyAlignment="1">
      <alignment horizontal="center" vertical="center"/>
    </xf>
    <xf numFmtId="166" fontId="8" fillId="0" borderId="20" xfId="1" applyNumberFormat="1" applyFont="1" applyBorder="1" applyAlignment="1">
      <alignment vertical="center"/>
    </xf>
    <xf numFmtId="166" fontId="8" fillId="0" borderId="2" xfId="1" applyNumberFormat="1" applyFont="1" applyBorder="1" applyAlignment="1">
      <alignment vertical="center"/>
    </xf>
    <xf numFmtId="9" fontId="8" fillId="0" borderId="2" xfId="2" applyFont="1" applyBorder="1" applyAlignment="1">
      <alignment horizontal="center" vertical="center"/>
    </xf>
    <xf numFmtId="167" fontId="8" fillId="0" borderId="2" xfId="2" applyNumberFormat="1" applyFont="1" applyBorder="1" applyAlignment="1">
      <alignment horizontal="center" vertical="center"/>
    </xf>
    <xf numFmtId="166" fontId="8" fillId="0" borderId="2" xfId="1" applyNumberFormat="1" applyFont="1" applyBorder="1" applyAlignment="1">
      <alignment horizontal="center" vertical="center"/>
    </xf>
    <xf numFmtId="166" fontId="9" fillId="0" borderId="2" xfId="1" applyNumberFormat="1" applyFont="1" applyBorder="1" applyAlignment="1">
      <alignment vertical="center"/>
    </xf>
    <xf numFmtId="9" fontId="9" fillId="0" borderId="2" xfId="2" applyFont="1" applyBorder="1" applyAlignment="1">
      <alignment horizontal="center" vertical="center"/>
    </xf>
    <xf numFmtId="167" fontId="9" fillId="0" borderId="2" xfId="2" applyNumberFormat="1" applyFont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 wrapText="1"/>
    </xf>
    <xf numFmtId="166" fontId="0" fillId="4" borderId="0" xfId="0" applyNumberFormat="1" applyFill="1" applyAlignment="1">
      <alignment vertical="center"/>
    </xf>
    <xf numFmtId="164" fontId="2" fillId="0" borderId="0" xfId="1" applyFont="1" applyAlignment="1">
      <alignment horizontal="right" vertical="center"/>
    </xf>
    <xf numFmtId="164" fontId="0" fillId="4" borderId="0" xfId="1" applyFont="1" applyFill="1" applyAlignment="1">
      <alignment horizontal="right" vertical="center"/>
    </xf>
    <xf numFmtId="164" fontId="3" fillId="0" borderId="0" xfId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5" fillId="2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165" fontId="12" fillId="2" borderId="2" xfId="1" applyNumberFormat="1" applyFont="1" applyFill="1" applyBorder="1" applyAlignment="1">
      <alignment horizontal="center" vertical="center" wrapText="1"/>
    </xf>
    <xf numFmtId="166" fontId="8" fillId="0" borderId="24" xfId="1" applyNumberFormat="1" applyFont="1" applyBorder="1" applyAlignment="1">
      <alignment vertical="center"/>
    </xf>
    <xf numFmtId="166" fontId="8" fillId="0" borderId="25" xfId="1" applyNumberFormat="1" applyFont="1" applyBorder="1" applyAlignment="1">
      <alignment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/>
    </xf>
    <xf numFmtId="0" fontId="0" fillId="0" borderId="4" xfId="0" applyBorder="1" applyAlignment="1">
      <alignment vertical="center"/>
    </xf>
    <xf numFmtId="166" fontId="10" fillId="0" borderId="7" xfId="1" applyNumberFormat="1" applyFont="1" applyBorder="1" applyAlignment="1">
      <alignment vertical="center"/>
    </xf>
    <xf numFmtId="9" fontId="10" fillId="0" borderId="7" xfId="2" applyFont="1" applyBorder="1" applyAlignment="1">
      <alignment horizontal="center" vertical="center"/>
    </xf>
    <xf numFmtId="166" fontId="11" fillId="0" borderId="7" xfId="1" applyNumberFormat="1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67" fontId="10" fillId="0" borderId="7" xfId="2" applyNumberFormat="1" applyFont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67" fontId="8" fillId="0" borderId="7" xfId="1" applyNumberFormat="1" applyFont="1" applyBorder="1" applyAlignment="1">
      <alignment horizontal="center" vertical="center"/>
    </xf>
    <xf numFmtId="167" fontId="8" fillId="0" borderId="8" xfId="1" applyNumberFormat="1" applyFont="1" applyBorder="1" applyAlignment="1">
      <alignment horizontal="center" vertical="center"/>
    </xf>
    <xf numFmtId="167" fontId="11" fillId="0" borderId="8" xfId="1" applyNumberFormat="1" applyFont="1" applyBorder="1" applyAlignment="1">
      <alignment horizontal="center" vertical="center"/>
    </xf>
    <xf numFmtId="167" fontId="12" fillId="0" borderId="8" xfId="1" applyNumberFormat="1" applyFont="1" applyBorder="1" applyAlignment="1">
      <alignment horizontal="center" vertical="center"/>
    </xf>
    <xf numFmtId="167" fontId="8" fillId="0" borderId="16" xfId="1" applyNumberFormat="1" applyFont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 vertical="center"/>
    </xf>
    <xf numFmtId="167" fontId="8" fillId="0" borderId="10" xfId="1" applyNumberFormat="1" applyFont="1" applyBorder="1" applyAlignment="1">
      <alignment horizontal="center" vertical="center"/>
    </xf>
    <xf numFmtId="167" fontId="10" fillId="4" borderId="8" xfId="1" applyNumberFormat="1" applyFont="1" applyFill="1" applyBorder="1" applyAlignment="1">
      <alignment horizontal="center" vertical="center"/>
    </xf>
    <xf numFmtId="167" fontId="13" fillId="0" borderId="8" xfId="1" applyNumberFormat="1" applyFont="1" applyBorder="1" applyAlignment="1">
      <alignment horizontal="center" vertical="center"/>
    </xf>
    <xf numFmtId="167" fontId="14" fillId="0" borderId="8" xfId="1" applyNumberFormat="1" applyFont="1" applyBorder="1" applyAlignment="1">
      <alignment horizontal="center" vertical="center"/>
    </xf>
    <xf numFmtId="167" fontId="11" fillId="4" borderId="8" xfId="1" applyNumberFormat="1" applyFont="1" applyFill="1" applyBorder="1" applyAlignment="1">
      <alignment horizontal="center" vertical="center"/>
    </xf>
    <xf numFmtId="167" fontId="14" fillId="0" borderId="8" xfId="1" applyNumberFormat="1" applyFont="1" applyFill="1" applyBorder="1" applyAlignment="1">
      <alignment horizontal="center" vertical="center"/>
    </xf>
    <xf numFmtId="166" fontId="14" fillId="0" borderId="8" xfId="1" applyNumberFormat="1" applyFont="1" applyBorder="1" applyAlignment="1">
      <alignment horizontal="center" vertical="center"/>
    </xf>
    <xf numFmtId="167" fontId="14" fillId="0" borderId="9" xfId="1" applyNumberFormat="1" applyFont="1" applyBorder="1" applyAlignment="1">
      <alignment horizontal="center" vertical="center"/>
    </xf>
    <xf numFmtId="167" fontId="11" fillId="0" borderId="7" xfId="1" applyNumberFormat="1" applyFont="1" applyBorder="1" applyAlignment="1">
      <alignment horizontal="center" vertical="center"/>
    </xf>
    <xf numFmtId="167" fontId="8" fillId="0" borderId="20" xfId="1" applyNumberFormat="1" applyFont="1" applyBorder="1" applyAlignment="1">
      <alignment horizontal="center" vertical="center"/>
    </xf>
    <xf numFmtId="167" fontId="8" fillId="0" borderId="2" xfId="1" applyNumberFormat="1" applyFont="1" applyBorder="1" applyAlignment="1">
      <alignment horizontal="center" vertical="center"/>
    </xf>
    <xf numFmtId="10" fontId="8" fillId="0" borderId="8" xfId="1" applyNumberFormat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6" fontId="8" fillId="0" borderId="9" xfId="1" applyNumberFormat="1" applyFont="1" applyBorder="1" applyAlignment="1">
      <alignment vertical="center"/>
    </xf>
    <xf numFmtId="167" fontId="8" fillId="0" borderId="9" xfId="2" applyNumberFormat="1" applyFont="1" applyBorder="1" applyAlignment="1">
      <alignment horizontal="center" vertical="center"/>
    </xf>
    <xf numFmtId="167" fontId="8" fillId="0" borderId="9" xfId="1" applyNumberFormat="1" applyFont="1" applyBorder="1" applyAlignment="1">
      <alignment horizontal="center" vertical="center"/>
    </xf>
    <xf numFmtId="166" fontId="13" fillId="0" borderId="8" xfId="1" applyNumberFormat="1" applyFont="1" applyBorder="1" applyAlignment="1">
      <alignment horizontal="center" vertical="center"/>
    </xf>
    <xf numFmtId="166" fontId="10" fillId="4" borderId="8" xfId="1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9"/>
  <sheetViews>
    <sheetView tabSelected="1" view="pageBreakPreview" zoomScale="80" zoomScaleNormal="9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 x14ac:dyDescent="0.25"/>
  <cols>
    <col min="1" max="1" width="10.7109375" style="2" bestFit="1" customWidth="1"/>
    <col min="2" max="2" width="96.5703125" customWidth="1"/>
    <col min="3" max="3" width="22" customWidth="1"/>
    <col min="4" max="4" width="22" style="19" customWidth="1"/>
    <col min="5" max="5" width="12.5703125" style="19" customWidth="1"/>
    <col min="6" max="6" width="22" customWidth="1"/>
    <col min="7" max="7" width="22" style="19" customWidth="1"/>
    <col min="8" max="8" width="12.5703125" style="19" customWidth="1"/>
    <col min="9" max="10" width="22" customWidth="1"/>
    <col min="11" max="11" width="12.5703125" customWidth="1"/>
    <col min="12" max="12" width="20.5703125" customWidth="1"/>
    <col min="13" max="13" width="24.28515625" customWidth="1"/>
    <col min="14" max="14" width="28.28515625" customWidth="1"/>
    <col min="15" max="15" width="32.85546875" customWidth="1"/>
    <col min="18" max="18" width="21" bestFit="1" customWidth="1"/>
  </cols>
  <sheetData>
    <row r="1" spans="1:46" ht="15.75" thickBot="1" x14ac:dyDescent="0.3">
      <c r="C1" s="18"/>
      <c r="D1" s="18"/>
      <c r="E1" s="18"/>
      <c r="G1" s="18"/>
      <c r="H1" s="18"/>
      <c r="I1" s="18"/>
      <c r="J1" s="18"/>
      <c r="K1" s="18"/>
    </row>
    <row r="2" spans="1:46" s="17" customFormat="1" ht="46.5" customHeight="1" thickBot="1" x14ac:dyDescent="0.3">
      <c r="A2" s="15" t="s">
        <v>9</v>
      </c>
      <c r="B2" s="16" t="s">
        <v>10</v>
      </c>
      <c r="C2" s="88" t="s">
        <v>130</v>
      </c>
      <c r="D2" s="99" t="s">
        <v>128</v>
      </c>
      <c r="E2" s="99" t="s">
        <v>133</v>
      </c>
      <c r="F2" s="88" t="s">
        <v>131</v>
      </c>
      <c r="G2" s="99" t="s">
        <v>129</v>
      </c>
      <c r="H2" s="99" t="s">
        <v>134</v>
      </c>
      <c r="I2" s="96" t="s">
        <v>139</v>
      </c>
      <c r="J2" s="99" t="s">
        <v>137</v>
      </c>
      <c r="K2" s="99" t="s">
        <v>138</v>
      </c>
    </row>
    <row r="3" spans="1:46" s="4" customFormat="1" ht="22.5" customHeight="1" thickBot="1" x14ac:dyDescent="0.3">
      <c r="A3" s="6" t="s">
        <v>11</v>
      </c>
      <c r="B3" s="7" t="s">
        <v>12</v>
      </c>
      <c r="C3" s="49">
        <v>0</v>
      </c>
      <c r="D3" s="49">
        <v>0</v>
      </c>
      <c r="E3" s="50" t="s">
        <v>132</v>
      </c>
      <c r="F3" s="49">
        <v>2880636244.4000001</v>
      </c>
      <c r="G3" s="49">
        <v>2880636244.4000001</v>
      </c>
      <c r="H3" s="51">
        <f>G3/F3</f>
        <v>1</v>
      </c>
      <c r="I3" s="49">
        <v>924537682.43999898</v>
      </c>
      <c r="J3" s="49">
        <v>924537682.43999898</v>
      </c>
      <c r="K3" s="108">
        <f>J3/I3</f>
        <v>1</v>
      </c>
      <c r="L3" s="40"/>
      <c r="M3" s="39"/>
      <c r="N3" s="40"/>
      <c r="O3" s="39"/>
      <c r="P3" s="39"/>
      <c r="Q3" s="39"/>
      <c r="R3" s="39"/>
      <c r="S3" s="40"/>
      <c r="T3" s="39"/>
      <c r="U3" s="40"/>
      <c r="V3" s="39"/>
      <c r="W3" s="40"/>
      <c r="X3" s="39"/>
      <c r="Y3" s="39"/>
      <c r="Z3" s="39"/>
      <c r="AA3" s="39"/>
      <c r="AB3" s="39"/>
      <c r="AC3" s="39"/>
      <c r="AD3" s="39"/>
      <c r="AE3" s="40"/>
      <c r="AF3" s="39"/>
      <c r="AG3" s="40"/>
      <c r="AH3" s="39"/>
      <c r="AI3" s="40"/>
      <c r="AJ3" s="39"/>
      <c r="AK3" s="39"/>
      <c r="AL3" s="42"/>
      <c r="AM3" s="43"/>
      <c r="AN3" s="41"/>
      <c r="AO3" s="41"/>
      <c r="AP3" s="41"/>
      <c r="AQ3" s="43"/>
      <c r="AR3" s="43"/>
      <c r="AS3" s="38">
        <f>+AS1+AS2</f>
        <v>0</v>
      </c>
      <c r="AT3" s="37" t="e">
        <f>+#REF!+#REF!-#REF!</f>
        <v>#REF!</v>
      </c>
    </row>
    <row r="4" spans="1:46" s="36" customFormat="1" ht="22.5" customHeight="1" thickBot="1" x14ac:dyDescent="0.3">
      <c r="A4" s="34" t="s">
        <v>13</v>
      </c>
      <c r="B4" s="35" t="s">
        <v>14</v>
      </c>
      <c r="C4" s="52">
        <f>+C5+C6+C7+C8+C9+C10+C16++C17+C18+C19+C20+C21</f>
        <v>19097835800</v>
      </c>
      <c r="D4" s="52">
        <f t="shared" ref="D4:G4" si="0">+D5+D6+D7+D8+D9+D10+D16++D17+D18+D19+D20+D21</f>
        <v>16763373996.080002</v>
      </c>
      <c r="E4" s="53">
        <f>D4/C4</f>
        <v>0.87776301836671999</v>
      </c>
      <c r="F4" s="52">
        <f t="shared" si="0"/>
        <v>13157422356.560001</v>
      </c>
      <c r="G4" s="52">
        <f t="shared" si="0"/>
        <v>13057119605.6</v>
      </c>
      <c r="H4" s="53">
        <f t="shared" ref="H4:H66" si="1">G4/F4</f>
        <v>0.99237671724431709</v>
      </c>
      <c r="I4" s="52">
        <f t="shared" ref="I4:J4" si="2">+I5+I6+I7+I8+I9+I10+I16++I17+I18+I19+I20+I21</f>
        <v>10127270925.350002</v>
      </c>
      <c r="J4" s="52">
        <f t="shared" si="2"/>
        <v>10133671979.33</v>
      </c>
      <c r="K4" s="109">
        <f t="shared" ref="K4:K7" si="3">J4/I4</f>
        <v>1.0006320610979187</v>
      </c>
    </row>
    <row r="5" spans="1:46" s="4" customFormat="1" ht="75" customHeight="1" x14ac:dyDescent="0.25">
      <c r="A5" s="20" t="s">
        <v>5</v>
      </c>
      <c r="B5" s="9" t="s">
        <v>19</v>
      </c>
      <c r="C5" s="54">
        <v>7800000000</v>
      </c>
      <c r="D5" s="54">
        <v>7800000000</v>
      </c>
      <c r="E5" s="55">
        <f>D5/C5</f>
        <v>1</v>
      </c>
      <c r="F5" s="54">
        <v>27000000</v>
      </c>
      <c r="G5" s="54">
        <v>27000000</v>
      </c>
      <c r="H5" s="55">
        <f t="shared" si="1"/>
        <v>1</v>
      </c>
      <c r="I5" s="54">
        <v>2854115000</v>
      </c>
      <c r="J5" s="54">
        <v>2854115000</v>
      </c>
      <c r="K5" s="110">
        <f t="shared" si="3"/>
        <v>1</v>
      </c>
    </row>
    <row r="6" spans="1:46" s="4" customFormat="1" ht="45" x14ac:dyDescent="0.25">
      <c r="A6" s="21" t="s">
        <v>6</v>
      </c>
      <c r="B6" s="5" t="s">
        <v>140</v>
      </c>
      <c r="C6" s="56">
        <v>0</v>
      </c>
      <c r="D6" s="56">
        <v>324551160</v>
      </c>
      <c r="E6" s="57" t="s">
        <v>132</v>
      </c>
      <c r="F6" s="54">
        <v>260306100</v>
      </c>
      <c r="G6" s="56">
        <v>260306100</v>
      </c>
      <c r="H6" s="58">
        <f t="shared" si="1"/>
        <v>1</v>
      </c>
      <c r="I6" s="54">
        <v>0</v>
      </c>
      <c r="J6" s="54">
        <v>0</v>
      </c>
      <c r="K6" s="58" t="s">
        <v>132</v>
      </c>
    </row>
    <row r="7" spans="1:46" s="4" customFormat="1" ht="15.75" x14ac:dyDescent="0.25">
      <c r="A7" s="21" t="s">
        <v>15</v>
      </c>
      <c r="B7" s="3" t="s">
        <v>0</v>
      </c>
      <c r="C7" s="56">
        <v>2307318500</v>
      </c>
      <c r="D7" s="56">
        <v>2307318500</v>
      </c>
      <c r="E7" s="58">
        <f t="shared" ref="E7:E68" si="4">D7/C7</f>
        <v>1</v>
      </c>
      <c r="F7" s="54">
        <v>4450000000</v>
      </c>
      <c r="G7" s="56">
        <v>4450000000</v>
      </c>
      <c r="H7" s="58">
        <f t="shared" si="1"/>
        <v>1</v>
      </c>
      <c r="I7" s="54">
        <v>500000000</v>
      </c>
      <c r="J7" s="54">
        <v>500000000</v>
      </c>
      <c r="K7" s="110">
        <f t="shared" si="3"/>
        <v>1</v>
      </c>
    </row>
    <row r="8" spans="1:46" s="4" customFormat="1" ht="15.75" x14ac:dyDescent="0.25">
      <c r="A8" s="21" t="s">
        <v>16</v>
      </c>
      <c r="B8" s="3" t="s">
        <v>1</v>
      </c>
      <c r="C8" s="56">
        <v>2500000000</v>
      </c>
      <c r="D8" s="56">
        <v>0</v>
      </c>
      <c r="E8" s="58">
        <f t="shared" si="4"/>
        <v>0</v>
      </c>
      <c r="F8" s="54">
        <v>0</v>
      </c>
      <c r="G8" s="56">
        <v>0</v>
      </c>
      <c r="H8" s="58" t="s">
        <v>132</v>
      </c>
      <c r="I8" s="54">
        <v>0</v>
      </c>
      <c r="J8" s="54">
        <v>0</v>
      </c>
      <c r="K8" s="110" t="s">
        <v>132</v>
      </c>
    </row>
    <row r="9" spans="1:46" s="4" customFormat="1" ht="30" x14ac:dyDescent="0.25">
      <c r="A9" s="21" t="s">
        <v>17</v>
      </c>
      <c r="B9" s="5" t="s">
        <v>39</v>
      </c>
      <c r="C9" s="56">
        <v>0</v>
      </c>
      <c r="D9" s="56">
        <v>0</v>
      </c>
      <c r="E9" s="57" t="s">
        <v>132</v>
      </c>
      <c r="F9" s="54">
        <v>0</v>
      </c>
      <c r="G9" s="56">
        <v>0</v>
      </c>
      <c r="H9" s="58" t="s">
        <v>132</v>
      </c>
      <c r="I9" s="54">
        <v>0</v>
      </c>
      <c r="J9" s="54">
        <v>0</v>
      </c>
      <c r="K9" s="110" t="s">
        <v>132</v>
      </c>
    </row>
    <row r="10" spans="1:46" s="4" customFormat="1" ht="15.75" x14ac:dyDescent="0.25">
      <c r="A10" s="21" t="s">
        <v>18</v>
      </c>
      <c r="B10" s="3" t="s">
        <v>2</v>
      </c>
      <c r="C10" s="56">
        <f>+C11+C12+C13+C14+C15</f>
        <v>6439584200</v>
      </c>
      <c r="D10" s="56">
        <f t="shared" ref="D10:G10" si="5">+D11+D12+D13+D14+D15</f>
        <v>6170225035</v>
      </c>
      <c r="E10" s="58">
        <f t="shared" si="4"/>
        <v>0.95817134202546805</v>
      </c>
      <c r="F10" s="56">
        <f t="shared" si="5"/>
        <v>8073171132.5</v>
      </c>
      <c r="G10" s="56">
        <f t="shared" si="5"/>
        <v>7944056855.8899994</v>
      </c>
      <c r="H10" s="58">
        <f t="shared" si="1"/>
        <v>0.98400699372143519</v>
      </c>
      <c r="I10" s="56">
        <f t="shared" ref="I10:J10" si="6">+I11+I12+I13+I14+I15</f>
        <v>6539298804.5199995</v>
      </c>
      <c r="J10" s="56">
        <f t="shared" si="6"/>
        <v>6539298804.5199995</v>
      </c>
      <c r="K10" s="111">
        <f t="shared" ref="K10:K12" si="7">J10/I10</f>
        <v>1</v>
      </c>
    </row>
    <row r="11" spans="1:46" s="1" customFormat="1" ht="15.75" x14ac:dyDescent="0.25">
      <c r="A11" s="22"/>
      <c r="B11" s="10" t="s">
        <v>20</v>
      </c>
      <c r="C11" s="59">
        <v>6450000000</v>
      </c>
      <c r="D11" s="59">
        <v>6172330000</v>
      </c>
      <c r="E11" s="60">
        <f t="shared" si="4"/>
        <v>0.95695038759689921</v>
      </c>
      <c r="F11" s="59">
        <v>8090100000</v>
      </c>
      <c r="G11" s="59">
        <v>8049547000</v>
      </c>
      <c r="H11" s="60">
        <f t="shared" si="1"/>
        <v>0.99498733019369356</v>
      </c>
      <c r="I11" s="61">
        <v>6632631200</v>
      </c>
      <c r="J11" s="61">
        <v>6632631200</v>
      </c>
      <c r="K11" s="112">
        <f t="shared" si="7"/>
        <v>1</v>
      </c>
    </row>
    <row r="12" spans="1:46" s="1" customFormat="1" ht="15.75" x14ac:dyDescent="0.25">
      <c r="A12" s="22"/>
      <c r="B12" s="10" t="s">
        <v>21</v>
      </c>
      <c r="C12" s="59">
        <f>-2105000</f>
        <v>-2105000</v>
      </c>
      <c r="D12" s="59">
        <f>-2104965</f>
        <v>-2104965</v>
      </c>
      <c r="E12" s="60">
        <f t="shared" si="4"/>
        <v>0.99998337292161521</v>
      </c>
      <c r="F12" s="61">
        <f>-4528867.5</f>
        <v>-4528867.5</v>
      </c>
      <c r="G12" s="59">
        <f>-111293648.76</f>
        <v>-111293648.76000001</v>
      </c>
      <c r="H12" s="60">
        <f t="shared" si="1"/>
        <v>24.574277953594361</v>
      </c>
      <c r="I12" s="61">
        <v>-93351683.099999994</v>
      </c>
      <c r="J12" s="61">
        <v>-93351683.099999994</v>
      </c>
      <c r="K12" s="112">
        <f t="shared" si="7"/>
        <v>1</v>
      </c>
    </row>
    <row r="13" spans="1:46" s="1" customFormat="1" ht="15.75" x14ac:dyDescent="0.25">
      <c r="A13" s="22"/>
      <c r="B13" s="10" t="s">
        <v>22</v>
      </c>
      <c r="C13" s="59">
        <v>0</v>
      </c>
      <c r="D13" s="59">
        <v>0</v>
      </c>
      <c r="E13" s="62" t="s">
        <v>132</v>
      </c>
      <c r="F13" s="59">
        <v>0</v>
      </c>
      <c r="G13" s="59">
        <v>0</v>
      </c>
      <c r="H13" s="60" t="s">
        <v>132</v>
      </c>
      <c r="I13" s="61">
        <v>0</v>
      </c>
      <c r="J13" s="61">
        <v>0</v>
      </c>
      <c r="K13" s="112" t="s">
        <v>132</v>
      </c>
    </row>
    <row r="14" spans="1:46" s="1" customFormat="1" ht="15.75" x14ac:dyDescent="0.25">
      <c r="A14" s="22"/>
      <c r="B14" s="10" t="s">
        <v>23</v>
      </c>
      <c r="C14" s="59">
        <v>0</v>
      </c>
      <c r="D14" s="59">
        <v>0</v>
      </c>
      <c r="E14" s="62" t="s">
        <v>132</v>
      </c>
      <c r="F14" s="59">
        <v>0</v>
      </c>
      <c r="G14" s="59">
        <v>12801522.15</v>
      </c>
      <c r="H14" s="60" t="s">
        <v>132</v>
      </c>
      <c r="I14" s="61">
        <v>19287.62</v>
      </c>
      <c r="J14" s="61">
        <v>19287.62</v>
      </c>
      <c r="K14" s="112">
        <f>J14/I14</f>
        <v>1</v>
      </c>
    </row>
    <row r="15" spans="1:46" s="1" customFormat="1" ht="15.75" x14ac:dyDescent="0.25">
      <c r="A15" s="22"/>
      <c r="B15" s="10" t="s">
        <v>24</v>
      </c>
      <c r="C15" s="61">
        <f>-8310800</f>
        <v>-8310800</v>
      </c>
      <c r="D15" s="61">
        <v>0</v>
      </c>
      <c r="E15" s="63">
        <f t="shared" si="4"/>
        <v>0</v>
      </c>
      <c r="F15" s="61">
        <f>-12400000</f>
        <v>-12400000</v>
      </c>
      <c r="G15" s="61">
        <f>-6998017.5</f>
        <v>-6998017.5</v>
      </c>
      <c r="H15" s="63">
        <f t="shared" si="1"/>
        <v>0.56435625</v>
      </c>
      <c r="I15" s="61">
        <v>0</v>
      </c>
      <c r="J15" s="61">
        <v>0</v>
      </c>
      <c r="K15" s="112" t="s">
        <v>132</v>
      </c>
    </row>
    <row r="16" spans="1:46" s="4" customFormat="1" ht="15.75" x14ac:dyDescent="0.25">
      <c r="A16" s="21" t="s">
        <v>7</v>
      </c>
      <c r="B16" s="3" t="s">
        <v>25</v>
      </c>
      <c r="C16" s="56">
        <v>500</v>
      </c>
      <c r="D16" s="56">
        <v>99700944.189999998</v>
      </c>
      <c r="E16" s="57" t="s">
        <v>132</v>
      </c>
      <c r="F16" s="56">
        <v>12655167.91</v>
      </c>
      <c r="G16" s="56">
        <v>14000907.119999999</v>
      </c>
      <c r="H16" s="58">
        <f t="shared" si="1"/>
        <v>1.1063391034848782</v>
      </c>
      <c r="I16" s="64">
        <v>6361.2</v>
      </c>
      <c r="J16" s="64">
        <v>6361.2</v>
      </c>
      <c r="K16" s="113">
        <f t="shared" ref="K16" si="8">J16/I16</f>
        <v>1</v>
      </c>
    </row>
    <row r="17" spans="1:18" s="4" customFormat="1" ht="15.75" x14ac:dyDescent="0.25">
      <c r="A17" s="21" t="s">
        <v>26</v>
      </c>
      <c r="B17" s="3" t="s">
        <v>4</v>
      </c>
      <c r="C17" s="56">
        <v>0</v>
      </c>
      <c r="D17" s="56">
        <v>0</v>
      </c>
      <c r="E17" s="57" t="s">
        <v>132</v>
      </c>
      <c r="F17" s="56">
        <v>0</v>
      </c>
      <c r="G17" s="56">
        <v>0</v>
      </c>
      <c r="H17" s="58" t="s">
        <v>132</v>
      </c>
      <c r="I17" s="64">
        <v>0</v>
      </c>
      <c r="J17" s="64">
        <v>0</v>
      </c>
      <c r="K17" s="113" t="s">
        <v>132</v>
      </c>
    </row>
    <row r="18" spans="1:18" s="4" customFormat="1" ht="15.75" x14ac:dyDescent="0.25">
      <c r="A18" s="21" t="s">
        <v>27</v>
      </c>
      <c r="B18" s="3" t="s">
        <v>3</v>
      </c>
      <c r="C18" s="56">
        <v>50133300</v>
      </c>
      <c r="D18" s="56">
        <v>59267937.289999999</v>
      </c>
      <c r="E18" s="58">
        <f t="shared" si="4"/>
        <v>1.1822069819860253</v>
      </c>
      <c r="F18" s="56">
        <v>80067400</v>
      </c>
      <c r="G18" s="56">
        <v>102734753.15000001</v>
      </c>
      <c r="H18" s="58">
        <f t="shared" si="1"/>
        <v>1.2831033997607018</v>
      </c>
      <c r="I18" s="56">
        <v>54000000</v>
      </c>
      <c r="J18" s="56">
        <v>55240714.159999996</v>
      </c>
      <c r="K18" s="111">
        <f t="shared" ref="K18:K20" si="9">J18/I18</f>
        <v>1.0229761881481481</v>
      </c>
    </row>
    <row r="19" spans="1:18" s="4" customFormat="1" ht="15.75" x14ac:dyDescent="0.25">
      <c r="A19" s="21" t="s">
        <v>28</v>
      </c>
      <c r="B19" s="3" t="s">
        <v>123</v>
      </c>
      <c r="C19" s="97"/>
      <c r="D19" s="97"/>
      <c r="E19" s="97"/>
      <c r="F19" s="56">
        <v>4033940.36</v>
      </c>
      <c r="G19" s="56">
        <v>5661786.04</v>
      </c>
      <c r="H19" s="58">
        <f t="shared" si="1"/>
        <v>1.4035373691047828</v>
      </c>
      <c r="I19" s="56">
        <v>12256005.67</v>
      </c>
      <c r="J19" s="56">
        <v>12575518.720000001</v>
      </c>
      <c r="K19" s="111">
        <f t="shared" si="9"/>
        <v>1.0260699169536205</v>
      </c>
    </row>
    <row r="20" spans="1:18" s="4" customFormat="1" ht="15.75" x14ac:dyDescent="0.25">
      <c r="A20" s="27" t="s">
        <v>110</v>
      </c>
      <c r="B20" s="28" t="s">
        <v>111</v>
      </c>
      <c r="C20" s="97"/>
      <c r="D20" s="97"/>
      <c r="E20" s="97"/>
      <c r="F20" s="56">
        <v>250188615.78999999</v>
      </c>
      <c r="G20" s="65">
        <v>253359203.40000001</v>
      </c>
      <c r="H20" s="66">
        <f t="shared" si="1"/>
        <v>1.0126727892873484</v>
      </c>
      <c r="I20" s="65">
        <v>167589430.28</v>
      </c>
      <c r="J20" s="65">
        <v>172430257.05000001</v>
      </c>
      <c r="K20" s="114">
        <f t="shared" si="9"/>
        <v>1.0288850362574311</v>
      </c>
    </row>
    <row r="21" spans="1:18" s="4" customFormat="1" ht="16.5" thickBot="1" x14ac:dyDescent="0.3">
      <c r="A21" s="21" t="s">
        <v>126</v>
      </c>
      <c r="B21" s="3" t="s">
        <v>40</v>
      </c>
      <c r="C21" s="56">
        <v>799300</v>
      </c>
      <c r="D21" s="56">
        <v>2310419.6</v>
      </c>
      <c r="E21" s="58">
        <f t="shared" si="4"/>
        <v>2.8905537345177033</v>
      </c>
      <c r="F21" s="98"/>
      <c r="G21" s="98"/>
      <c r="H21" s="98"/>
      <c r="I21" s="56">
        <v>5323.68</v>
      </c>
      <c r="J21" s="56">
        <v>5323.68</v>
      </c>
      <c r="K21" s="127">
        <f>J21/I21</f>
        <v>1</v>
      </c>
    </row>
    <row r="22" spans="1:18" s="36" customFormat="1" ht="39.75" customHeight="1" thickBot="1" x14ac:dyDescent="0.3">
      <c r="A22" s="34" t="s">
        <v>8</v>
      </c>
      <c r="B22" s="94" t="s">
        <v>135</v>
      </c>
      <c r="C22" s="52">
        <f>+C23+C67+C68+C72</f>
        <v>17791394774.069996</v>
      </c>
      <c r="D22" s="52">
        <f>+D23+D67+D68+D72</f>
        <v>13884199256.26</v>
      </c>
      <c r="E22" s="53">
        <f t="shared" si="4"/>
        <v>0.78038846490526292</v>
      </c>
      <c r="F22" s="52">
        <f>+F23+F67+F68+F72</f>
        <v>15993881000</v>
      </c>
      <c r="G22" s="52">
        <f>+G23+G67+G68+G72</f>
        <v>15019332487.460001</v>
      </c>
      <c r="H22" s="53">
        <f t="shared" si="1"/>
        <v>0.93906741506079738</v>
      </c>
      <c r="I22" s="52">
        <f>+I23+I67+I68+I72</f>
        <v>10879871072.35</v>
      </c>
      <c r="J22" s="52">
        <f>+J23+J67+J68+J72+J73</f>
        <v>10499749765.269999</v>
      </c>
      <c r="K22" s="109">
        <f t="shared" ref="K22:K51" si="10">J22/I22</f>
        <v>0.96506196584938964</v>
      </c>
    </row>
    <row r="23" spans="1:18" s="4" customFormat="1" ht="37.5" customHeight="1" x14ac:dyDescent="0.25">
      <c r="A23" s="20" t="s">
        <v>5</v>
      </c>
      <c r="B23" s="95" t="s">
        <v>136</v>
      </c>
      <c r="C23" s="67">
        <f>+C24+C28+C32+C34+C36+C37+C41+C43+C47+C49+C51+C60+C62+C64</f>
        <v>17785669074.069996</v>
      </c>
      <c r="D23" s="67">
        <f>+D24+D28+D32+D34+D36+D37+D41+D43+D47+D49+D51+D60+D62+D64</f>
        <v>13879565944.470001</v>
      </c>
      <c r="E23" s="68">
        <f>D23/C23</f>
        <v>0.78037918543673102</v>
      </c>
      <c r="F23" s="67">
        <f>+F24+F28+F32+F34+F36+F37+F41+F43+F47+F49+F51+F60+F62+F64</f>
        <v>15692663000</v>
      </c>
      <c r="G23" s="67">
        <f>+G24+G28+G32+G34+G36+G37+G41+G43+G47+G49+G51+G60+G62+G64</f>
        <v>14775778900.42</v>
      </c>
      <c r="H23" s="68">
        <f t="shared" si="1"/>
        <v>0.94157243422738379</v>
      </c>
      <c r="I23" s="67">
        <f>+I24+I28+I32+I34+I36+I37+I41+I43+I47+I49+I51+I60+I62+I64</f>
        <v>10497423172.35</v>
      </c>
      <c r="J23" s="67">
        <f>+J24+J28+J32+J34+J36+J37+J41+J43+J47+J49+J51+J60+J62+J64</f>
        <v>10123977152.65</v>
      </c>
      <c r="K23" s="116">
        <f t="shared" si="10"/>
        <v>0.96442498186758352</v>
      </c>
      <c r="L23" s="90"/>
      <c r="M23" s="90"/>
      <c r="N23" s="93"/>
      <c r="O23" s="93"/>
      <c r="R23" s="93"/>
    </row>
    <row r="24" spans="1:18" s="31" customFormat="1" ht="30" customHeight="1" x14ac:dyDescent="0.25">
      <c r="A24" s="29" t="s">
        <v>29</v>
      </c>
      <c r="B24" s="30" t="s">
        <v>41</v>
      </c>
      <c r="C24" s="69">
        <f>SUM(C25:C27)</f>
        <v>1240110000</v>
      </c>
      <c r="D24" s="69">
        <f t="shared" ref="D24:G24" si="11">SUM(D25:D27)</f>
        <v>158972702.91000003</v>
      </c>
      <c r="E24" s="70">
        <f t="shared" si="4"/>
        <v>0.12819242076106155</v>
      </c>
      <c r="F24" s="69">
        <f t="shared" si="11"/>
        <v>281600000</v>
      </c>
      <c r="G24" s="69">
        <f t="shared" si="11"/>
        <v>263520860.77000001</v>
      </c>
      <c r="H24" s="70">
        <f t="shared" si="1"/>
        <v>0.93579851125710234</v>
      </c>
      <c r="I24" s="69">
        <f t="shared" ref="I24:J24" si="12">SUM(I25:I27)</f>
        <v>299081000</v>
      </c>
      <c r="J24" s="69">
        <f t="shared" si="12"/>
        <v>293633544.45999998</v>
      </c>
      <c r="K24" s="117">
        <f t="shared" si="10"/>
        <v>0.98178601937267829</v>
      </c>
      <c r="L24" s="91"/>
      <c r="M24" s="91"/>
    </row>
    <row r="25" spans="1:18" s="12" customFormat="1" ht="15.75" x14ac:dyDescent="0.25">
      <c r="A25" s="23" t="s">
        <v>30</v>
      </c>
      <c r="B25" s="11" t="s">
        <v>42</v>
      </c>
      <c r="C25" s="71">
        <v>1211500000</v>
      </c>
      <c r="D25" s="71">
        <v>147150124.55000001</v>
      </c>
      <c r="E25" s="72">
        <f t="shared" si="4"/>
        <v>0.12146110156830377</v>
      </c>
      <c r="F25" s="71">
        <v>260000000</v>
      </c>
      <c r="G25" s="71">
        <v>242208970.16999999</v>
      </c>
      <c r="H25" s="72">
        <f t="shared" si="1"/>
        <v>0.93157296219230767</v>
      </c>
      <c r="I25" s="71">
        <v>269840000</v>
      </c>
      <c r="J25" s="71">
        <v>264541834.69999999</v>
      </c>
      <c r="K25" s="118">
        <f t="shared" si="10"/>
        <v>0.98036553031426021</v>
      </c>
      <c r="L25" s="91"/>
      <c r="M25" s="92"/>
    </row>
    <row r="26" spans="1:18" s="12" customFormat="1" ht="15.75" x14ac:dyDescent="0.25">
      <c r="A26" s="23" t="s">
        <v>72</v>
      </c>
      <c r="B26" s="11" t="s">
        <v>74</v>
      </c>
      <c r="C26" s="71">
        <v>12880000</v>
      </c>
      <c r="D26" s="71">
        <v>10689842.68</v>
      </c>
      <c r="E26" s="72">
        <f t="shared" si="4"/>
        <v>0.82995672981366453</v>
      </c>
      <c r="F26" s="71">
        <v>20000000</v>
      </c>
      <c r="G26" s="71">
        <v>19967215.52</v>
      </c>
      <c r="H26" s="72">
        <f t="shared" si="1"/>
        <v>0.99836077599999995</v>
      </c>
      <c r="I26" s="71">
        <v>28136000</v>
      </c>
      <c r="J26" s="71">
        <v>27999615.309999999</v>
      </c>
      <c r="K26" s="118">
        <f t="shared" si="10"/>
        <v>0.99515266242536249</v>
      </c>
      <c r="L26" s="91"/>
      <c r="M26" s="92"/>
    </row>
    <row r="27" spans="1:18" s="12" customFormat="1" ht="30" x14ac:dyDescent="0.25">
      <c r="A27" s="23" t="s">
        <v>73</v>
      </c>
      <c r="B27" s="13" t="s">
        <v>81</v>
      </c>
      <c r="C27" s="71">
        <v>15730000</v>
      </c>
      <c r="D27" s="71">
        <v>1132735.68</v>
      </c>
      <c r="E27" s="72">
        <f t="shared" si="4"/>
        <v>7.2011168467895736E-2</v>
      </c>
      <c r="F27" s="71">
        <v>1600000</v>
      </c>
      <c r="G27" s="71">
        <v>1344675.08</v>
      </c>
      <c r="H27" s="72">
        <f t="shared" si="1"/>
        <v>0.84042192500000001</v>
      </c>
      <c r="I27" s="71">
        <v>1105000</v>
      </c>
      <c r="J27" s="71">
        <v>1092094.45</v>
      </c>
      <c r="K27" s="118">
        <f t="shared" si="10"/>
        <v>0.98832076923076917</v>
      </c>
      <c r="L27" s="91"/>
      <c r="M27" s="92"/>
    </row>
    <row r="28" spans="1:18" s="31" customFormat="1" ht="28.5" customHeight="1" x14ac:dyDescent="0.25">
      <c r="A28" s="32" t="s">
        <v>31</v>
      </c>
      <c r="B28" s="30" t="s">
        <v>43</v>
      </c>
      <c r="C28" s="69">
        <f>SUM(C29:C31)</f>
        <v>660600000</v>
      </c>
      <c r="D28" s="69">
        <f t="shared" ref="D28:G28" si="13">SUM(D29:D31)</f>
        <v>480513427.10999995</v>
      </c>
      <c r="E28" s="70">
        <f t="shared" si="4"/>
        <v>0.72738938405994547</v>
      </c>
      <c r="F28" s="69">
        <f t="shared" si="13"/>
        <v>111000000</v>
      </c>
      <c r="G28" s="69">
        <f t="shared" si="13"/>
        <v>99572062.50999999</v>
      </c>
      <c r="H28" s="70">
        <f t="shared" si="1"/>
        <v>0.89704560819819812</v>
      </c>
      <c r="I28" s="69">
        <f t="shared" ref="I28:J28" si="14">SUM(I29:I31)</f>
        <v>71919000</v>
      </c>
      <c r="J28" s="69">
        <f t="shared" si="14"/>
        <v>67731957.879999995</v>
      </c>
      <c r="K28" s="117">
        <f t="shared" si="10"/>
        <v>0.94178114100585375</v>
      </c>
      <c r="L28" s="91"/>
      <c r="M28" s="91"/>
    </row>
    <row r="29" spans="1:18" s="12" customFormat="1" ht="15.75" x14ac:dyDescent="0.25">
      <c r="A29" s="23" t="s">
        <v>32</v>
      </c>
      <c r="B29" s="11" t="s">
        <v>44</v>
      </c>
      <c r="C29" s="71">
        <v>492389000</v>
      </c>
      <c r="D29" s="71">
        <v>393776583.32999998</v>
      </c>
      <c r="E29" s="72">
        <f t="shared" si="4"/>
        <v>0.79972660504194848</v>
      </c>
      <c r="F29" s="71">
        <v>45000000</v>
      </c>
      <c r="G29" s="71">
        <v>40438440.189999998</v>
      </c>
      <c r="H29" s="72">
        <f t="shared" si="1"/>
        <v>0.89863200422222211</v>
      </c>
      <c r="I29" s="71">
        <v>10814000</v>
      </c>
      <c r="J29" s="71">
        <v>9936942.1400000006</v>
      </c>
      <c r="K29" s="118">
        <f t="shared" si="10"/>
        <v>0.91889607360828562</v>
      </c>
      <c r="L29" s="89"/>
    </row>
    <row r="30" spans="1:18" s="12" customFormat="1" ht="15.75" x14ac:dyDescent="0.25">
      <c r="A30" s="24" t="s">
        <v>33</v>
      </c>
      <c r="B30" s="11" t="s">
        <v>45</v>
      </c>
      <c r="C30" s="71">
        <v>137411000</v>
      </c>
      <c r="D30" s="71">
        <v>76913562.689999998</v>
      </c>
      <c r="E30" s="72">
        <f t="shared" si="4"/>
        <v>0.55973366535430202</v>
      </c>
      <c r="F30" s="71">
        <v>55000000</v>
      </c>
      <c r="G30" s="71">
        <v>49984739.75</v>
      </c>
      <c r="H30" s="72">
        <f t="shared" si="1"/>
        <v>0.90881345000000002</v>
      </c>
      <c r="I30" s="71">
        <v>52650000</v>
      </c>
      <c r="J30" s="71">
        <v>50346819.460000001</v>
      </c>
      <c r="K30" s="118">
        <f t="shared" si="10"/>
        <v>0.95625488053181384</v>
      </c>
      <c r="L30" s="89"/>
    </row>
    <row r="31" spans="1:18" s="12" customFormat="1" ht="45" x14ac:dyDescent="0.25">
      <c r="A31" s="24" t="s">
        <v>34</v>
      </c>
      <c r="B31" s="13" t="s">
        <v>108</v>
      </c>
      <c r="C31" s="71">
        <v>30800000</v>
      </c>
      <c r="D31" s="71">
        <v>9823281.0899999999</v>
      </c>
      <c r="E31" s="72">
        <f t="shared" si="4"/>
        <v>0.31893769772727271</v>
      </c>
      <c r="F31" s="71">
        <v>11000000</v>
      </c>
      <c r="G31" s="71">
        <v>9148882.5700000003</v>
      </c>
      <c r="H31" s="72">
        <f t="shared" si="1"/>
        <v>0.83171659727272729</v>
      </c>
      <c r="I31" s="71">
        <v>8455000</v>
      </c>
      <c r="J31" s="71">
        <v>7448196.2800000003</v>
      </c>
      <c r="K31" s="118">
        <f t="shared" si="10"/>
        <v>0.88092209107037256</v>
      </c>
      <c r="L31" s="89"/>
    </row>
    <row r="32" spans="1:18" s="31" customFormat="1" ht="30" customHeight="1" x14ac:dyDescent="0.25">
      <c r="A32" s="32" t="s">
        <v>35</v>
      </c>
      <c r="B32" s="30" t="s">
        <v>46</v>
      </c>
      <c r="C32" s="69">
        <f>+C33</f>
        <v>1939800000</v>
      </c>
      <c r="D32" s="69">
        <f t="shared" ref="D32:J32" si="15">+D33</f>
        <v>1919927211.75</v>
      </c>
      <c r="E32" s="70">
        <f t="shared" si="4"/>
        <v>0.98975523855552117</v>
      </c>
      <c r="F32" s="69">
        <f t="shared" si="15"/>
        <v>1630000000</v>
      </c>
      <c r="G32" s="69">
        <f t="shared" si="15"/>
        <v>1584255455.04</v>
      </c>
      <c r="H32" s="70">
        <f t="shared" si="1"/>
        <v>0.97193586198773008</v>
      </c>
      <c r="I32" s="69">
        <f t="shared" si="15"/>
        <v>2421319000</v>
      </c>
      <c r="J32" s="69">
        <f t="shared" si="15"/>
        <v>2324868297.48</v>
      </c>
      <c r="K32" s="117">
        <f t="shared" si="10"/>
        <v>0.96016604895100566</v>
      </c>
      <c r="L32" s="89"/>
    </row>
    <row r="33" spans="1:12" s="12" customFormat="1" ht="45" x14ac:dyDescent="0.25">
      <c r="A33" s="24" t="s">
        <v>36</v>
      </c>
      <c r="B33" s="13" t="s">
        <v>149</v>
      </c>
      <c r="C33" s="71">
        <v>1939800000</v>
      </c>
      <c r="D33" s="71">
        <v>1919927211.75</v>
      </c>
      <c r="E33" s="72">
        <f t="shared" si="4"/>
        <v>0.98975523855552117</v>
      </c>
      <c r="F33" s="73">
        <v>1630000000</v>
      </c>
      <c r="G33" s="73">
        <v>1584255455.04</v>
      </c>
      <c r="H33" s="72">
        <f t="shared" si="1"/>
        <v>0.97193586198773008</v>
      </c>
      <c r="I33" s="73">
        <v>2421319000</v>
      </c>
      <c r="J33" s="73">
        <v>2324868297.48</v>
      </c>
      <c r="K33" s="119">
        <f t="shared" si="10"/>
        <v>0.96016604895100566</v>
      </c>
      <c r="L33" s="89"/>
    </row>
    <row r="34" spans="1:12" s="31" customFormat="1" ht="33" customHeight="1" x14ac:dyDescent="0.25">
      <c r="A34" s="32" t="s">
        <v>37</v>
      </c>
      <c r="B34" s="30" t="s">
        <v>47</v>
      </c>
      <c r="C34" s="69">
        <f>+C35</f>
        <v>761353400</v>
      </c>
      <c r="D34" s="69">
        <f t="shared" ref="D34:J34" si="16">+D35</f>
        <v>667417870.70000005</v>
      </c>
      <c r="E34" s="70">
        <f t="shared" si="4"/>
        <v>0.87662033255515781</v>
      </c>
      <c r="F34" s="69">
        <f t="shared" si="16"/>
        <v>911812000</v>
      </c>
      <c r="G34" s="69">
        <f t="shared" si="16"/>
        <v>908749838.38999999</v>
      </c>
      <c r="H34" s="70">
        <f t="shared" si="1"/>
        <v>0.99664167436927786</v>
      </c>
      <c r="I34" s="69">
        <f t="shared" si="16"/>
        <v>877057153</v>
      </c>
      <c r="J34" s="69">
        <f t="shared" si="16"/>
        <v>852358342.00999999</v>
      </c>
      <c r="K34" s="117">
        <f t="shared" si="10"/>
        <v>0.97183899486422631</v>
      </c>
      <c r="L34" s="89"/>
    </row>
    <row r="35" spans="1:12" s="12" customFormat="1" ht="60" x14ac:dyDescent="0.25">
      <c r="A35" s="24" t="s">
        <v>38</v>
      </c>
      <c r="B35" s="13" t="s">
        <v>141</v>
      </c>
      <c r="C35" s="71">
        <v>761353400</v>
      </c>
      <c r="D35" s="71">
        <v>667417870.70000005</v>
      </c>
      <c r="E35" s="72">
        <f t="shared" si="4"/>
        <v>0.87662033255515781</v>
      </c>
      <c r="F35" s="73">
        <v>911812000</v>
      </c>
      <c r="G35" s="73">
        <v>908749838.38999999</v>
      </c>
      <c r="H35" s="72">
        <f t="shared" si="1"/>
        <v>0.99664167436927786</v>
      </c>
      <c r="I35" s="73">
        <v>877057153</v>
      </c>
      <c r="J35" s="73">
        <v>852358342.00999999</v>
      </c>
      <c r="K35" s="119">
        <f t="shared" si="10"/>
        <v>0.97183899486422631</v>
      </c>
      <c r="L35" s="89"/>
    </row>
    <row r="36" spans="1:12" s="31" customFormat="1" ht="30.75" customHeight="1" x14ac:dyDescent="0.25">
      <c r="A36" s="32" t="s">
        <v>63</v>
      </c>
      <c r="B36" s="30" t="s">
        <v>48</v>
      </c>
      <c r="C36" s="69">
        <v>1962744279.6700001</v>
      </c>
      <c r="D36" s="69">
        <v>0</v>
      </c>
      <c r="E36" s="70">
        <f t="shared" si="4"/>
        <v>0</v>
      </c>
      <c r="F36" s="74">
        <v>81563840.950000003</v>
      </c>
      <c r="G36" s="74">
        <v>0</v>
      </c>
      <c r="H36" s="70">
        <f t="shared" si="1"/>
        <v>0</v>
      </c>
      <c r="I36" s="74">
        <v>0</v>
      </c>
      <c r="J36" s="74">
        <v>0</v>
      </c>
      <c r="K36" s="120" t="s">
        <v>132</v>
      </c>
      <c r="L36" s="89"/>
    </row>
    <row r="37" spans="1:12" s="31" customFormat="1" ht="18" customHeight="1" x14ac:dyDescent="0.25">
      <c r="A37" s="32" t="s">
        <v>64</v>
      </c>
      <c r="B37" s="33" t="s">
        <v>49</v>
      </c>
      <c r="C37" s="69">
        <f>SUM(C38:C40)</f>
        <v>715000000</v>
      </c>
      <c r="D37" s="69">
        <f t="shared" ref="D37:G37" si="17">SUM(D38:D40)</f>
        <v>602068382.65999997</v>
      </c>
      <c r="E37" s="70">
        <f t="shared" si="4"/>
        <v>0.84205368204195796</v>
      </c>
      <c r="F37" s="69">
        <f t="shared" si="17"/>
        <v>348100000</v>
      </c>
      <c r="G37" s="69">
        <f t="shared" si="17"/>
        <v>288612602.63999999</v>
      </c>
      <c r="H37" s="70">
        <f t="shared" si="1"/>
        <v>0.82910830979603556</v>
      </c>
      <c r="I37" s="69">
        <f t="shared" ref="I37:J37" si="18">SUM(I38:I40)</f>
        <v>0</v>
      </c>
      <c r="J37" s="69">
        <f t="shared" si="18"/>
        <v>0</v>
      </c>
      <c r="K37" s="117" t="s">
        <v>132</v>
      </c>
      <c r="L37" s="89"/>
    </row>
    <row r="38" spans="1:12" s="12" customFormat="1" ht="15.75" x14ac:dyDescent="0.25">
      <c r="A38" s="23" t="s">
        <v>76</v>
      </c>
      <c r="B38" s="13" t="s">
        <v>75</v>
      </c>
      <c r="C38" s="75">
        <v>60000000</v>
      </c>
      <c r="D38" s="75">
        <v>1994582.66</v>
      </c>
      <c r="E38" s="76">
        <f t="shared" si="4"/>
        <v>3.3243044333333333E-2</v>
      </c>
      <c r="F38" s="77">
        <v>58100000</v>
      </c>
      <c r="G38" s="77">
        <v>629255.72</v>
      </c>
      <c r="H38" s="76">
        <f t="shared" si="1"/>
        <v>1.0830563166953529E-2</v>
      </c>
      <c r="I38" s="77">
        <v>0</v>
      </c>
      <c r="J38" s="77">
        <v>0</v>
      </c>
      <c r="K38" s="121" t="s">
        <v>132</v>
      </c>
      <c r="L38" s="89"/>
    </row>
    <row r="39" spans="1:12" s="12" customFormat="1" ht="15.75" x14ac:dyDescent="0.25">
      <c r="A39" s="23" t="s">
        <v>77</v>
      </c>
      <c r="B39" s="13" t="s">
        <v>78</v>
      </c>
      <c r="C39" s="75">
        <v>55000000</v>
      </c>
      <c r="D39" s="75">
        <v>73800</v>
      </c>
      <c r="E39" s="76">
        <f t="shared" si="4"/>
        <v>1.3418181818181819E-3</v>
      </c>
      <c r="F39" s="77">
        <v>40000000</v>
      </c>
      <c r="G39" s="77">
        <v>37983346.920000002</v>
      </c>
      <c r="H39" s="76">
        <f t="shared" si="1"/>
        <v>0.94958367300000002</v>
      </c>
      <c r="I39" s="77">
        <v>0</v>
      </c>
      <c r="J39" s="77">
        <v>0</v>
      </c>
      <c r="K39" s="121" t="s">
        <v>132</v>
      </c>
      <c r="L39" s="89"/>
    </row>
    <row r="40" spans="1:12" s="12" customFormat="1" ht="15.75" x14ac:dyDescent="0.25">
      <c r="A40" s="23" t="s">
        <v>84</v>
      </c>
      <c r="B40" s="13" t="s">
        <v>83</v>
      </c>
      <c r="C40" s="75">
        <v>600000000</v>
      </c>
      <c r="D40" s="75">
        <v>600000000</v>
      </c>
      <c r="E40" s="76">
        <f t="shared" si="4"/>
        <v>1</v>
      </c>
      <c r="F40" s="77">
        <v>250000000</v>
      </c>
      <c r="G40" s="77">
        <v>250000000</v>
      </c>
      <c r="H40" s="76">
        <f t="shared" si="1"/>
        <v>1</v>
      </c>
      <c r="I40" s="77">
        <v>0</v>
      </c>
      <c r="J40" s="77">
        <v>0</v>
      </c>
      <c r="K40" s="121" t="s">
        <v>132</v>
      </c>
      <c r="L40" s="89"/>
    </row>
    <row r="41" spans="1:12" s="31" customFormat="1" ht="35.25" customHeight="1" x14ac:dyDescent="0.25">
      <c r="A41" s="32" t="s">
        <v>65</v>
      </c>
      <c r="B41" s="30" t="s">
        <v>50</v>
      </c>
      <c r="C41" s="69">
        <f>C42</f>
        <v>5840000000</v>
      </c>
      <c r="D41" s="69">
        <f t="shared" ref="D41:J41" si="19">D42</f>
        <v>5600509980.54</v>
      </c>
      <c r="E41" s="70">
        <f t="shared" si="4"/>
        <v>0.95899143502397255</v>
      </c>
      <c r="F41" s="69">
        <f t="shared" si="19"/>
        <v>2895192932.6500001</v>
      </c>
      <c r="G41" s="69">
        <f t="shared" si="19"/>
        <v>2827636283.8299999</v>
      </c>
      <c r="H41" s="70">
        <f t="shared" si="1"/>
        <v>0.97666592507250805</v>
      </c>
      <c r="I41" s="69">
        <f t="shared" si="19"/>
        <v>1859119000</v>
      </c>
      <c r="J41" s="69">
        <f t="shared" si="19"/>
        <v>1752069036.3699999</v>
      </c>
      <c r="K41" s="117">
        <f t="shared" si="10"/>
        <v>0.94241898252344247</v>
      </c>
      <c r="L41" s="89"/>
    </row>
    <row r="42" spans="1:12" s="12" customFormat="1" ht="30" x14ac:dyDescent="0.25">
      <c r="A42" s="24" t="s">
        <v>66</v>
      </c>
      <c r="B42" s="13" t="s">
        <v>71</v>
      </c>
      <c r="C42" s="71">
        <v>5840000000</v>
      </c>
      <c r="D42" s="71">
        <v>5600509980.54</v>
      </c>
      <c r="E42" s="72">
        <f t="shared" si="4"/>
        <v>0.95899143502397255</v>
      </c>
      <c r="F42" s="73">
        <v>2895192932.6500001</v>
      </c>
      <c r="G42" s="73">
        <v>2827636283.8299999</v>
      </c>
      <c r="H42" s="72">
        <f t="shared" si="1"/>
        <v>0.97666592507250805</v>
      </c>
      <c r="I42" s="73">
        <v>1859119000</v>
      </c>
      <c r="J42" s="73">
        <v>1752069036.3699999</v>
      </c>
      <c r="K42" s="119">
        <f t="shared" si="10"/>
        <v>0.94241898252344247</v>
      </c>
      <c r="L42" s="89"/>
    </row>
    <row r="43" spans="1:12" s="31" customFormat="1" ht="34.5" customHeight="1" x14ac:dyDescent="0.25">
      <c r="A43" s="32" t="s">
        <v>67</v>
      </c>
      <c r="B43" s="30" t="s">
        <v>51</v>
      </c>
      <c r="C43" s="69">
        <f>+C44+C45+C46</f>
        <v>53260601.960000001</v>
      </c>
      <c r="D43" s="69">
        <f t="shared" ref="D43:G43" si="20">+D44+D45+D46</f>
        <v>39742253.629999995</v>
      </c>
      <c r="E43" s="70">
        <f t="shared" si="4"/>
        <v>0.74618483771263777</v>
      </c>
      <c r="F43" s="69">
        <f t="shared" si="20"/>
        <v>36811654.350000001</v>
      </c>
      <c r="G43" s="69">
        <f t="shared" si="20"/>
        <v>29992227.240000002</v>
      </c>
      <c r="H43" s="70">
        <f t="shared" si="1"/>
        <v>0.81474814891061809</v>
      </c>
      <c r="I43" s="69">
        <f t="shared" ref="I43:J43" si="21">+I44+I45+I46</f>
        <v>11179018</v>
      </c>
      <c r="J43" s="69">
        <f t="shared" si="21"/>
        <v>7798795.4800000004</v>
      </c>
      <c r="K43" s="117">
        <f t="shared" si="10"/>
        <v>0.69762795623014473</v>
      </c>
      <c r="L43" s="89"/>
    </row>
    <row r="44" spans="1:12" s="12" customFormat="1" ht="15.75" x14ac:dyDescent="0.25">
      <c r="A44" s="24" t="s">
        <v>68</v>
      </c>
      <c r="B44" s="13" t="s">
        <v>52</v>
      </c>
      <c r="C44" s="71">
        <v>53008868</v>
      </c>
      <c r="D44" s="71">
        <v>39503093.659999996</v>
      </c>
      <c r="E44" s="72">
        <f t="shared" si="4"/>
        <v>0.74521669959071746</v>
      </c>
      <c r="F44" s="73">
        <v>16201107</v>
      </c>
      <c r="G44" s="73">
        <v>13451678.76</v>
      </c>
      <c r="H44" s="72">
        <f t="shared" si="1"/>
        <v>0.83029380399746755</v>
      </c>
      <c r="I44" s="73">
        <v>11179018</v>
      </c>
      <c r="J44" s="73">
        <v>7798795.4800000004</v>
      </c>
      <c r="K44" s="119">
        <f t="shared" si="10"/>
        <v>0.69762795623014473</v>
      </c>
      <c r="L44" s="89"/>
    </row>
    <row r="45" spans="1:12" s="12" customFormat="1" ht="30" x14ac:dyDescent="0.25">
      <c r="A45" s="24" t="s">
        <v>91</v>
      </c>
      <c r="B45" s="13" t="s">
        <v>109</v>
      </c>
      <c r="C45" s="71">
        <v>251733.96</v>
      </c>
      <c r="D45" s="71">
        <v>239159.97</v>
      </c>
      <c r="E45" s="72">
        <f t="shared" si="4"/>
        <v>0.95005048186585561</v>
      </c>
      <c r="F45" s="73">
        <v>135785.32999999999</v>
      </c>
      <c r="G45" s="73">
        <v>135785.32999999999</v>
      </c>
      <c r="H45" s="72">
        <f t="shared" si="1"/>
        <v>1</v>
      </c>
      <c r="I45" s="73">
        <v>0</v>
      </c>
      <c r="J45" s="73">
        <v>0</v>
      </c>
      <c r="K45" s="119" t="s">
        <v>132</v>
      </c>
      <c r="L45" s="89"/>
    </row>
    <row r="46" spans="1:12" s="12" customFormat="1" ht="15.75" x14ac:dyDescent="0.25">
      <c r="A46" s="24" t="s">
        <v>92</v>
      </c>
      <c r="B46" s="13" t="s">
        <v>93</v>
      </c>
      <c r="C46" s="71">
        <v>0</v>
      </c>
      <c r="D46" s="71">
        <v>0</v>
      </c>
      <c r="E46" s="133" t="s">
        <v>132</v>
      </c>
      <c r="F46" s="73">
        <v>20474762.02</v>
      </c>
      <c r="G46" s="73">
        <v>16404763.15</v>
      </c>
      <c r="H46" s="72">
        <f t="shared" si="1"/>
        <v>0.80121874598472143</v>
      </c>
      <c r="I46" s="73">
        <v>0</v>
      </c>
      <c r="J46" s="73">
        <v>0</v>
      </c>
      <c r="K46" s="119" t="s">
        <v>132</v>
      </c>
      <c r="L46" s="89"/>
    </row>
    <row r="47" spans="1:12" s="31" customFormat="1" ht="29.25" customHeight="1" x14ac:dyDescent="0.25">
      <c r="A47" s="32" t="s">
        <v>69</v>
      </c>
      <c r="B47" s="30" t="s">
        <v>53</v>
      </c>
      <c r="C47" s="69">
        <f t="shared" ref="C47:J47" si="22">+C48</f>
        <v>1665000000</v>
      </c>
      <c r="D47" s="69">
        <f t="shared" si="22"/>
        <v>1585021264.1700001</v>
      </c>
      <c r="E47" s="70">
        <f t="shared" si="4"/>
        <v>0.9519647232252253</v>
      </c>
      <c r="F47" s="69">
        <f t="shared" si="22"/>
        <v>2664131513</v>
      </c>
      <c r="G47" s="69">
        <f t="shared" si="22"/>
        <v>2618774635.6799998</v>
      </c>
      <c r="H47" s="70">
        <f t="shared" si="1"/>
        <v>0.98297498561963814</v>
      </c>
      <c r="I47" s="69">
        <f t="shared" si="22"/>
        <v>2716280000</v>
      </c>
      <c r="J47" s="69">
        <f t="shared" si="22"/>
        <v>2637950398.9499998</v>
      </c>
      <c r="K47" s="117">
        <f t="shared" si="10"/>
        <v>0.97116291359874529</v>
      </c>
      <c r="L47" s="89"/>
    </row>
    <row r="48" spans="1:12" s="12" customFormat="1" ht="45" x14ac:dyDescent="0.25">
      <c r="A48" s="24" t="s">
        <v>70</v>
      </c>
      <c r="B48" s="13" t="s">
        <v>127</v>
      </c>
      <c r="C48" s="71">
        <v>1665000000</v>
      </c>
      <c r="D48" s="71">
        <v>1585021264.1700001</v>
      </c>
      <c r="E48" s="72">
        <f t="shared" si="4"/>
        <v>0.9519647232252253</v>
      </c>
      <c r="F48" s="73">
        <v>2664131513</v>
      </c>
      <c r="G48" s="73">
        <v>2618774635.6799998</v>
      </c>
      <c r="H48" s="72">
        <f t="shared" si="1"/>
        <v>0.98297498561963814</v>
      </c>
      <c r="I48" s="73">
        <v>2716280000</v>
      </c>
      <c r="J48" s="73">
        <v>2637950398.9499998</v>
      </c>
      <c r="K48" s="119">
        <f t="shared" si="10"/>
        <v>0.97116291359874529</v>
      </c>
      <c r="L48" s="89"/>
    </row>
    <row r="49" spans="1:12" s="31" customFormat="1" ht="35.25" customHeight="1" x14ac:dyDescent="0.25">
      <c r="A49" s="32" t="s">
        <v>79</v>
      </c>
      <c r="B49" s="33" t="s">
        <v>94</v>
      </c>
      <c r="C49" s="69">
        <f>C50</f>
        <v>130000000</v>
      </c>
      <c r="D49" s="69">
        <f t="shared" ref="D49:J49" si="23">D50</f>
        <v>13071397.369999999</v>
      </c>
      <c r="E49" s="70">
        <f t="shared" si="4"/>
        <v>0.10054921053846153</v>
      </c>
      <c r="F49" s="69">
        <f t="shared" si="23"/>
        <v>116928600</v>
      </c>
      <c r="G49" s="69">
        <f t="shared" si="23"/>
        <v>116928600</v>
      </c>
      <c r="H49" s="70">
        <f t="shared" si="1"/>
        <v>1</v>
      </c>
      <c r="I49" s="69">
        <f t="shared" si="23"/>
        <v>0</v>
      </c>
      <c r="J49" s="69">
        <f t="shared" si="23"/>
        <v>0</v>
      </c>
      <c r="K49" s="117" t="s">
        <v>132</v>
      </c>
      <c r="L49" s="89"/>
    </row>
    <row r="50" spans="1:12" s="12" customFormat="1" ht="15.75" x14ac:dyDescent="0.25">
      <c r="A50" s="24" t="s">
        <v>80</v>
      </c>
      <c r="B50" s="13" t="s">
        <v>82</v>
      </c>
      <c r="C50" s="71">
        <v>130000000</v>
      </c>
      <c r="D50" s="71">
        <v>13071397.369999999</v>
      </c>
      <c r="E50" s="72">
        <f t="shared" si="4"/>
        <v>0.10054921053846153</v>
      </c>
      <c r="F50" s="73">
        <v>116928600</v>
      </c>
      <c r="G50" s="73">
        <v>116928600</v>
      </c>
      <c r="H50" s="72">
        <f t="shared" si="1"/>
        <v>1</v>
      </c>
      <c r="I50" s="73">
        <v>0</v>
      </c>
      <c r="J50" s="73">
        <v>0</v>
      </c>
      <c r="K50" s="119" t="s">
        <v>132</v>
      </c>
      <c r="L50" s="89"/>
    </row>
    <row r="51" spans="1:12" s="31" customFormat="1" ht="36.75" customHeight="1" x14ac:dyDescent="0.25">
      <c r="A51" s="32" t="s">
        <v>85</v>
      </c>
      <c r="B51" s="33" t="s">
        <v>87</v>
      </c>
      <c r="C51" s="69">
        <f>SUM(C52:C59)</f>
        <v>2620000000</v>
      </c>
      <c r="D51" s="69">
        <f t="shared" ref="D51" si="24">SUM(D52:D58)</f>
        <v>2617109884.54</v>
      </c>
      <c r="E51" s="70">
        <f t="shared" si="4"/>
        <v>0.99889690249618324</v>
      </c>
      <c r="F51" s="69">
        <f>SUM(F52:F59)</f>
        <v>6450000000</v>
      </c>
      <c r="G51" s="69">
        <f>SUM(G52:G59)</f>
        <v>5875000000</v>
      </c>
      <c r="H51" s="70">
        <f t="shared" si="1"/>
        <v>0.91085271317829453</v>
      </c>
      <c r="I51" s="69">
        <f>SUM(I52:I59)</f>
        <v>2100000000</v>
      </c>
      <c r="J51" s="69">
        <f>SUM(J52:J59)</f>
        <v>2057000767.95</v>
      </c>
      <c r="K51" s="117">
        <f t="shared" si="10"/>
        <v>0.9795241752142857</v>
      </c>
      <c r="L51" s="89"/>
    </row>
    <row r="52" spans="1:12" s="12" customFormat="1" ht="60" x14ac:dyDescent="0.25">
      <c r="A52" s="24" t="s">
        <v>86</v>
      </c>
      <c r="B52" s="13" t="s">
        <v>142</v>
      </c>
      <c r="C52" s="71">
        <v>2620000000</v>
      </c>
      <c r="D52" s="71">
        <v>2617109884.54</v>
      </c>
      <c r="E52" s="72">
        <f t="shared" si="4"/>
        <v>0.99889690249618324</v>
      </c>
      <c r="F52" s="73">
        <v>0</v>
      </c>
      <c r="G52" s="73">
        <v>0</v>
      </c>
      <c r="H52" s="72" t="s">
        <v>132</v>
      </c>
      <c r="I52" s="73">
        <v>0</v>
      </c>
      <c r="J52" s="73">
        <v>0</v>
      </c>
      <c r="K52" s="119" t="s">
        <v>132</v>
      </c>
      <c r="L52" s="89"/>
    </row>
    <row r="53" spans="1:12" s="12" customFormat="1" ht="60" x14ac:dyDescent="0.25">
      <c r="A53" s="26" t="s">
        <v>99</v>
      </c>
      <c r="B53" s="13" t="s">
        <v>145</v>
      </c>
      <c r="C53" s="71">
        <v>0</v>
      </c>
      <c r="D53" s="71">
        <v>0</v>
      </c>
      <c r="E53" s="133" t="s">
        <v>132</v>
      </c>
      <c r="F53" s="73">
        <v>2800000000</v>
      </c>
      <c r="G53" s="73">
        <v>2800000000</v>
      </c>
      <c r="H53" s="72">
        <f t="shared" si="1"/>
        <v>1</v>
      </c>
      <c r="I53" s="73">
        <v>0</v>
      </c>
      <c r="J53" s="73">
        <v>0</v>
      </c>
      <c r="K53" s="119" t="s">
        <v>132</v>
      </c>
      <c r="L53" s="89"/>
    </row>
    <row r="54" spans="1:12" s="12" customFormat="1" ht="45" x14ac:dyDescent="0.25">
      <c r="A54" s="26" t="s">
        <v>100</v>
      </c>
      <c r="B54" s="13" t="s">
        <v>101</v>
      </c>
      <c r="C54" s="71">
        <v>0</v>
      </c>
      <c r="D54" s="71">
        <v>0</v>
      </c>
      <c r="E54" s="133" t="s">
        <v>132</v>
      </c>
      <c r="F54" s="73">
        <v>2200000000</v>
      </c>
      <c r="G54" s="73">
        <v>2200000000</v>
      </c>
      <c r="H54" s="72">
        <f t="shared" si="1"/>
        <v>1</v>
      </c>
      <c r="I54" s="73">
        <v>0</v>
      </c>
      <c r="J54" s="73">
        <v>0</v>
      </c>
      <c r="K54" s="119" t="s">
        <v>132</v>
      </c>
      <c r="L54" s="89"/>
    </row>
    <row r="55" spans="1:12" s="12" customFormat="1" ht="15.75" x14ac:dyDescent="0.25">
      <c r="A55" s="26" t="s">
        <v>114</v>
      </c>
      <c r="B55" s="13" t="s">
        <v>118</v>
      </c>
      <c r="C55" s="71">
        <v>0</v>
      </c>
      <c r="D55" s="71">
        <v>0</v>
      </c>
      <c r="E55" s="133" t="s">
        <v>132</v>
      </c>
      <c r="F55" s="73">
        <v>200000000</v>
      </c>
      <c r="G55" s="73">
        <v>25000000</v>
      </c>
      <c r="H55" s="72">
        <f t="shared" si="1"/>
        <v>0.125</v>
      </c>
      <c r="I55" s="73">
        <v>0</v>
      </c>
      <c r="J55" s="73">
        <v>0</v>
      </c>
      <c r="K55" s="119" t="s">
        <v>132</v>
      </c>
      <c r="L55" s="89"/>
    </row>
    <row r="56" spans="1:12" s="12" customFormat="1" ht="15.75" x14ac:dyDescent="0.25">
      <c r="A56" s="26" t="s">
        <v>115</v>
      </c>
      <c r="B56" s="13" t="s">
        <v>119</v>
      </c>
      <c r="C56" s="71">
        <v>0</v>
      </c>
      <c r="D56" s="71">
        <v>0</v>
      </c>
      <c r="E56" s="133" t="s">
        <v>132</v>
      </c>
      <c r="F56" s="73">
        <v>240000000</v>
      </c>
      <c r="G56" s="73">
        <v>240000000</v>
      </c>
      <c r="H56" s="72">
        <f t="shared" si="1"/>
        <v>1</v>
      </c>
      <c r="I56" s="73">
        <v>0</v>
      </c>
      <c r="J56" s="73">
        <v>0</v>
      </c>
      <c r="K56" s="119" t="s">
        <v>132</v>
      </c>
      <c r="L56" s="89"/>
    </row>
    <row r="57" spans="1:12" s="12" customFormat="1" ht="15.75" x14ac:dyDescent="0.25">
      <c r="A57" s="26" t="s">
        <v>116</v>
      </c>
      <c r="B57" s="13" t="s">
        <v>120</v>
      </c>
      <c r="C57" s="71">
        <v>0</v>
      </c>
      <c r="D57" s="71">
        <v>0</v>
      </c>
      <c r="E57" s="133" t="s">
        <v>132</v>
      </c>
      <c r="F57" s="73">
        <v>610000000</v>
      </c>
      <c r="G57" s="73">
        <v>610000000</v>
      </c>
      <c r="H57" s="72">
        <f t="shared" si="1"/>
        <v>1</v>
      </c>
      <c r="I57" s="73">
        <v>0</v>
      </c>
      <c r="J57" s="73">
        <v>0</v>
      </c>
      <c r="K57" s="119" t="s">
        <v>132</v>
      </c>
      <c r="L57" s="89"/>
    </row>
    <row r="58" spans="1:12" s="12" customFormat="1" ht="15.75" x14ac:dyDescent="0.25">
      <c r="A58" s="26" t="s">
        <v>117</v>
      </c>
      <c r="B58" s="13" t="s">
        <v>121</v>
      </c>
      <c r="C58" s="71">
        <v>0</v>
      </c>
      <c r="D58" s="71">
        <v>0</v>
      </c>
      <c r="E58" s="133" t="s">
        <v>132</v>
      </c>
      <c r="F58" s="73">
        <v>400000000</v>
      </c>
      <c r="G58" s="73">
        <v>0</v>
      </c>
      <c r="H58" s="72">
        <f t="shared" si="1"/>
        <v>0</v>
      </c>
      <c r="I58" s="73">
        <v>0</v>
      </c>
      <c r="J58" s="73">
        <v>0</v>
      </c>
      <c r="K58" s="119" t="s">
        <v>132</v>
      </c>
      <c r="L58" s="89"/>
    </row>
    <row r="59" spans="1:12" s="12" customFormat="1" ht="30" x14ac:dyDescent="0.25">
      <c r="A59" s="26" t="s">
        <v>124</v>
      </c>
      <c r="B59" s="13" t="s">
        <v>125</v>
      </c>
      <c r="C59" s="71">
        <v>0</v>
      </c>
      <c r="D59" s="71">
        <v>0</v>
      </c>
      <c r="E59" s="133" t="s">
        <v>132</v>
      </c>
      <c r="F59" s="73">
        <v>0</v>
      </c>
      <c r="G59" s="73">
        <v>0</v>
      </c>
      <c r="H59" s="122" t="s">
        <v>132</v>
      </c>
      <c r="I59" s="73">
        <v>2100000000</v>
      </c>
      <c r="J59" s="73">
        <v>2057000767.95</v>
      </c>
      <c r="K59" s="119">
        <f>J59/I59</f>
        <v>0.9795241752142857</v>
      </c>
      <c r="L59" s="89"/>
    </row>
    <row r="60" spans="1:12" s="31" customFormat="1" ht="36" customHeight="1" x14ac:dyDescent="0.25">
      <c r="A60" s="32" t="s">
        <v>88</v>
      </c>
      <c r="B60" s="33" t="s">
        <v>90</v>
      </c>
      <c r="C60" s="69">
        <f>C61</f>
        <v>189553955.44</v>
      </c>
      <c r="D60" s="69">
        <f t="shared" ref="D60:J60" si="25">D61</f>
        <v>186964732.09</v>
      </c>
      <c r="E60" s="70">
        <f t="shared" si="4"/>
        <v>0.98634044146433242</v>
      </c>
      <c r="F60" s="69">
        <f t="shared" si="25"/>
        <v>157671000</v>
      </c>
      <c r="G60" s="69">
        <f t="shared" si="25"/>
        <v>157248483.27000001</v>
      </c>
      <c r="H60" s="70">
        <f t="shared" si="1"/>
        <v>0.99732026352341274</v>
      </c>
      <c r="I60" s="69">
        <f t="shared" si="25"/>
        <v>139068476.34999999</v>
      </c>
      <c r="J60" s="69">
        <f t="shared" si="25"/>
        <v>128435099.51000001</v>
      </c>
      <c r="K60" s="117">
        <f t="shared" ref="K60:K65" si="26">J60/I60</f>
        <v>0.92353855367453308</v>
      </c>
      <c r="L60" s="89"/>
    </row>
    <row r="61" spans="1:12" s="12" customFormat="1" ht="15.75" x14ac:dyDescent="0.25">
      <c r="A61" s="24" t="s">
        <v>89</v>
      </c>
      <c r="B61" s="13" t="s">
        <v>146</v>
      </c>
      <c r="C61" s="71">
        <v>189553955.44</v>
      </c>
      <c r="D61" s="71">
        <v>186964732.09</v>
      </c>
      <c r="E61" s="72">
        <f t="shared" si="4"/>
        <v>0.98634044146433242</v>
      </c>
      <c r="F61" s="73">
        <v>157671000</v>
      </c>
      <c r="G61" s="73">
        <v>157248483.27000001</v>
      </c>
      <c r="H61" s="72">
        <f t="shared" si="1"/>
        <v>0.99732026352341274</v>
      </c>
      <c r="I61" s="73">
        <v>139068476.34999999</v>
      </c>
      <c r="J61" s="73">
        <v>128435099.51000001</v>
      </c>
      <c r="K61" s="119">
        <f t="shared" si="26"/>
        <v>0.92353855367453308</v>
      </c>
      <c r="L61" s="89"/>
    </row>
    <row r="62" spans="1:12" s="31" customFormat="1" ht="27.75" customHeight="1" x14ac:dyDescent="0.25">
      <c r="A62" s="32" t="s">
        <v>95</v>
      </c>
      <c r="B62" s="33" t="s">
        <v>97</v>
      </c>
      <c r="C62" s="69">
        <f>C63</f>
        <v>8246837</v>
      </c>
      <c r="D62" s="69">
        <f t="shared" ref="D62:J62" si="27">D63</f>
        <v>8246837</v>
      </c>
      <c r="E62" s="70">
        <f t="shared" si="4"/>
        <v>1</v>
      </c>
      <c r="F62" s="69">
        <f t="shared" si="27"/>
        <v>392851.05</v>
      </c>
      <c r="G62" s="69">
        <f t="shared" si="27"/>
        <v>392851.05</v>
      </c>
      <c r="H62" s="70">
        <f t="shared" si="1"/>
        <v>1</v>
      </c>
      <c r="I62" s="69">
        <f t="shared" si="27"/>
        <v>0</v>
      </c>
      <c r="J62" s="69">
        <f t="shared" si="27"/>
        <v>0</v>
      </c>
      <c r="K62" s="117" t="s">
        <v>132</v>
      </c>
      <c r="L62" s="89"/>
    </row>
    <row r="63" spans="1:12" s="12" customFormat="1" ht="30" x14ac:dyDescent="0.25">
      <c r="A63" s="24" t="s">
        <v>96</v>
      </c>
      <c r="B63" s="13" t="s">
        <v>98</v>
      </c>
      <c r="C63" s="71">
        <v>8246837</v>
      </c>
      <c r="D63" s="71">
        <v>8246837</v>
      </c>
      <c r="E63" s="72">
        <f t="shared" si="4"/>
        <v>1</v>
      </c>
      <c r="F63" s="73">
        <v>392851.05</v>
      </c>
      <c r="G63" s="73">
        <v>392851.05</v>
      </c>
      <c r="H63" s="72">
        <f t="shared" si="1"/>
        <v>1</v>
      </c>
      <c r="I63" s="73">
        <v>0</v>
      </c>
      <c r="J63" s="73">
        <v>0</v>
      </c>
      <c r="K63" s="119" t="s">
        <v>132</v>
      </c>
      <c r="L63" s="89"/>
    </row>
    <row r="64" spans="1:12" s="31" customFormat="1" ht="27.75" customHeight="1" x14ac:dyDescent="0.25">
      <c r="A64" s="32" t="s">
        <v>102</v>
      </c>
      <c r="B64" s="33" t="s">
        <v>107</v>
      </c>
      <c r="C64" s="69">
        <f>C65+C66</f>
        <v>0</v>
      </c>
      <c r="D64" s="69">
        <f>D65+D66</f>
        <v>0</v>
      </c>
      <c r="E64" s="134" t="s">
        <v>132</v>
      </c>
      <c r="F64" s="69">
        <f t="shared" ref="F64:G64" si="28">SUM(F65:F66)</f>
        <v>7458608</v>
      </c>
      <c r="G64" s="69">
        <f t="shared" si="28"/>
        <v>5095000</v>
      </c>
      <c r="H64" s="70">
        <f t="shared" si="1"/>
        <v>0.68310333509952526</v>
      </c>
      <c r="I64" s="69">
        <f t="shared" ref="I64:J64" si="29">SUM(I65:I66)</f>
        <v>2400525</v>
      </c>
      <c r="J64" s="69">
        <f t="shared" si="29"/>
        <v>2130912.56</v>
      </c>
      <c r="K64" s="117">
        <f t="shared" si="26"/>
        <v>0.88768605200945627</v>
      </c>
      <c r="L64" s="89"/>
    </row>
    <row r="65" spans="1:12" s="12" customFormat="1" ht="30" x14ac:dyDescent="0.25">
      <c r="A65" s="24" t="s">
        <v>103</v>
      </c>
      <c r="B65" s="13" t="s">
        <v>105</v>
      </c>
      <c r="C65" s="71">
        <v>0</v>
      </c>
      <c r="D65" s="71">
        <v>0</v>
      </c>
      <c r="E65" s="133" t="s">
        <v>132</v>
      </c>
      <c r="F65" s="73">
        <v>4363608</v>
      </c>
      <c r="G65" s="73">
        <v>2000000</v>
      </c>
      <c r="H65" s="72">
        <f t="shared" si="1"/>
        <v>0.45833631251936469</v>
      </c>
      <c r="I65" s="73">
        <v>2400525</v>
      </c>
      <c r="J65" s="73">
        <v>2130912.56</v>
      </c>
      <c r="K65" s="119">
        <f t="shared" si="26"/>
        <v>0.88768605200945627</v>
      </c>
      <c r="L65" s="89"/>
    </row>
    <row r="66" spans="1:12" s="12" customFormat="1" ht="15.75" x14ac:dyDescent="0.25">
      <c r="A66" s="44" t="s">
        <v>104</v>
      </c>
      <c r="B66" s="45" t="s">
        <v>106</v>
      </c>
      <c r="C66" s="71">
        <v>0</v>
      </c>
      <c r="D66" s="71">
        <v>0</v>
      </c>
      <c r="E66" s="133" t="s">
        <v>132</v>
      </c>
      <c r="F66" s="78">
        <v>3095000</v>
      </c>
      <c r="G66" s="78">
        <v>3095000</v>
      </c>
      <c r="H66" s="79">
        <f t="shared" si="1"/>
        <v>1</v>
      </c>
      <c r="I66" s="78">
        <v>0</v>
      </c>
      <c r="J66" s="78">
        <v>0</v>
      </c>
      <c r="K66" s="123" t="s">
        <v>132</v>
      </c>
      <c r="L66" s="89"/>
    </row>
    <row r="67" spans="1:12" s="4" customFormat="1" ht="15.75" x14ac:dyDescent="0.25">
      <c r="A67" s="21" t="s">
        <v>6</v>
      </c>
      <c r="B67" s="106" t="s">
        <v>122</v>
      </c>
      <c r="C67" s="56">
        <v>3000000</v>
      </c>
      <c r="D67" s="56">
        <v>3479052.09</v>
      </c>
      <c r="E67" s="58">
        <f t="shared" si="4"/>
        <v>1.15968403</v>
      </c>
      <c r="F67" s="56">
        <v>0</v>
      </c>
      <c r="G67" s="56">
        <v>0</v>
      </c>
      <c r="H67" s="115" t="s">
        <v>132</v>
      </c>
      <c r="I67" s="56">
        <v>0</v>
      </c>
      <c r="J67" s="56">
        <v>0</v>
      </c>
      <c r="K67" s="115" t="s">
        <v>132</v>
      </c>
    </row>
    <row r="68" spans="1:12" s="4" customFormat="1" ht="15.75" x14ac:dyDescent="0.25">
      <c r="A68" s="21" t="s">
        <v>15</v>
      </c>
      <c r="B68" s="105" t="s">
        <v>54</v>
      </c>
      <c r="C68" s="56">
        <f>SUM(C69:C71)</f>
        <v>1750000</v>
      </c>
      <c r="D68" s="56">
        <f t="shared" ref="D68:G68" si="30">SUM(D69:D71)</f>
        <v>472707.07</v>
      </c>
      <c r="E68" s="58">
        <f t="shared" si="4"/>
        <v>0.27011832571428573</v>
      </c>
      <c r="F68" s="56">
        <f t="shared" si="30"/>
        <v>299362400</v>
      </c>
      <c r="G68" s="56">
        <f t="shared" si="30"/>
        <v>242180505.11999997</v>
      </c>
      <c r="H68" s="58">
        <f t="shared" ref="H68:H76" si="31">G68/F68</f>
        <v>0.80898771896537436</v>
      </c>
      <c r="I68" s="56">
        <f t="shared" ref="I68:J68" si="32">SUM(I69:I71)</f>
        <v>380845800</v>
      </c>
      <c r="J68" s="56">
        <f t="shared" si="32"/>
        <v>374378526.47999996</v>
      </c>
      <c r="K68" s="111">
        <f t="shared" ref="K68" si="33">J68/I68</f>
        <v>0.98301865605449756</v>
      </c>
    </row>
    <row r="69" spans="1:12" s="1" customFormat="1" ht="15.75" x14ac:dyDescent="0.25">
      <c r="A69" s="100" t="s">
        <v>55</v>
      </c>
      <c r="B69" s="101" t="s">
        <v>143</v>
      </c>
      <c r="C69" s="102">
        <v>0</v>
      </c>
      <c r="D69" s="102">
        <v>0</v>
      </c>
      <c r="E69" s="103" t="s">
        <v>132</v>
      </c>
      <c r="F69" s="104">
        <v>0</v>
      </c>
      <c r="G69" s="104">
        <v>0</v>
      </c>
      <c r="H69" s="107" t="s">
        <v>132</v>
      </c>
      <c r="I69" s="104">
        <v>0</v>
      </c>
      <c r="J69" s="104">
        <v>0</v>
      </c>
      <c r="K69" s="124" t="s">
        <v>132</v>
      </c>
    </row>
    <row r="70" spans="1:12" s="1" customFormat="1" ht="15.75" x14ac:dyDescent="0.25">
      <c r="A70" s="25" t="s">
        <v>56</v>
      </c>
      <c r="B70" s="14" t="s">
        <v>23</v>
      </c>
      <c r="C70" s="59">
        <v>0</v>
      </c>
      <c r="D70" s="59">
        <v>0</v>
      </c>
      <c r="E70" s="62" t="s">
        <v>132</v>
      </c>
      <c r="F70" s="61">
        <v>286862400</v>
      </c>
      <c r="G70" s="61">
        <v>234824030.72999999</v>
      </c>
      <c r="H70" s="60">
        <f t="shared" si="31"/>
        <v>0.81859466674614723</v>
      </c>
      <c r="I70" s="61">
        <v>364745800</v>
      </c>
      <c r="J70" s="61">
        <v>360675991.07999998</v>
      </c>
      <c r="K70" s="112">
        <f t="shared" ref="K70:K76" si="34">J70/I70</f>
        <v>0.98884206776335737</v>
      </c>
    </row>
    <row r="71" spans="1:12" s="1" customFormat="1" ht="15.75" x14ac:dyDescent="0.25">
      <c r="A71" s="25" t="s">
        <v>57</v>
      </c>
      <c r="B71" s="10" t="s">
        <v>144</v>
      </c>
      <c r="C71" s="59">
        <v>1750000</v>
      </c>
      <c r="D71" s="59">
        <v>472707.07</v>
      </c>
      <c r="E71" s="60">
        <f t="shared" ref="E71:E72" si="35">D71/C71</f>
        <v>0.27011832571428573</v>
      </c>
      <c r="F71" s="61">
        <v>12500000</v>
      </c>
      <c r="G71" s="61">
        <v>7356474.3899999997</v>
      </c>
      <c r="H71" s="60">
        <f t="shared" si="31"/>
        <v>0.58851795119999994</v>
      </c>
      <c r="I71" s="61">
        <v>16100000</v>
      </c>
      <c r="J71" s="61">
        <v>13702535.4</v>
      </c>
      <c r="K71" s="112">
        <f t="shared" si="34"/>
        <v>0.85108915527950313</v>
      </c>
    </row>
    <row r="72" spans="1:12" s="4" customFormat="1" ht="15.75" x14ac:dyDescent="0.25">
      <c r="A72" s="128" t="s">
        <v>16</v>
      </c>
      <c r="B72" s="129" t="s">
        <v>60</v>
      </c>
      <c r="C72" s="130">
        <v>975700</v>
      </c>
      <c r="D72" s="130">
        <v>681552.63</v>
      </c>
      <c r="E72" s="131">
        <f t="shared" si="35"/>
        <v>0.69852683201803834</v>
      </c>
      <c r="F72" s="130">
        <v>1855600</v>
      </c>
      <c r="G72" s="130">
        <v>1373081.92</v>
      </c>
      <c r="H72" s="131">
        <f t="shared" si="31"/>
        <v>0.73996654451390387</v>
      </c>
      <c r="I72" s="130">
        <v>1602100</v>
      </c>
      <c r="J72" s="130">
        <v>1393600.75</v>
      </c>
      <c r="K72" s="132">
        <f t="shared" si="34"/>
        <v>0.86985877910242804</v>
      </c>
    </row>
    <row r="73" spans="1:12" s="4" customFormat="1" ht="16.5" thickBot="1" x14ac:dyDescent="0.3">
      <c r="A73" s="46" t="s">
        <v>147</v>
      </c>
      <c r="B73" s="47" t="s">
        <v>148</v>
      </c>
      <c r="C73" s="98"/>
      <c r="D73" s="98"/>
      <c r="E73" s="98"/>
      <c r="F73" s="98"/>
      <c r="G73" s="98"/>
      <c r="H73" s="98"/>
      <c r="I73" s="80">
        <v>0</v>
      </c>
      <c r="J73" s="80">
        <v>485.39</v>
      </c>
      <c r="K73" s="125" t="s">
        <v>132</v>
      </c>
    </row>
    <row r="74" spans="1:12" s="4" customFormat="1" ht="24" customHeight="1" thickBot="1" x14ac:dyDescent="0.3">
      <c r="A74" s="6" t="s">
        <v>58</v>
      </c>
      <c r="B74" s="8" t="s">
        <v>61</v>
      </c>
      <c r="C74" s="81">
        <f>+C4-C22</f>
        <v>1306441025.9300041</v>
      </c>
      <c r="D74" s="81">
        <f>+D4-D22</f>
        <v>2879174739.8200016</v>
      </c>
      <c r="E74" s="82" t="s">
        <v>132</v>
      </c>
      <c r="F74" s="81">
        <f>+F4-F22</f>
        <v>-2836458643.4399986</v>
      </c>
      <c r="G74" s="81">
        <f>+G4-G22</f>
        <v>-1962212881.8600006</v>
      </c>
      <c r="H74" s="83">
        <f t="shared" si="31"/>
        <v>0.69178265172245534</v>
      </c>
      <c r="I74" s="81">
        <f>+I4-I22</f>
        <v>-752600146.99999809</v>
      </c>
      <c r="J74" s="81">
        <f>+J4-J22</f>
        <v>-366077785.93999863</v>
      </c>
      <c r="K74" s="126">
        <f t="shared" si="34"/>
        <v>0.48641737235801996</v>
      </c>
    </row>
    <row r="75" spans="1:12" s="4" customFormat="1" ht="24" customHeight="1" thickBot="1" x14ac:dyDescent="0.3">
      <c r="A75" s="6" t="s">
        <v>59</v>
      </c>
      <c r="B75" s="8" t="s">
        <v>113</v>
      </c>
      <c r="C75" s="84" t="s">
        <v>132</v>
      </c>
      <c r="D75" s="85">
        <v>1461504.58</v>
      </c>
      <c r="E75" s="86" t="s">
        <v>132</v>
      </c>
      <c r="F75" s="81">
        <f>-1911871.88</f>
        <v>-1911871.88</v>
      </c>
      <c r="G75" s="81">
        <v>6114319.9000000004</v>
      </c>
      <c r="H75" s="87">
        <f t="shared" si="31"/>
        <v>-3.198080354631295</v>
      </c>
      <c r="I75" s="81">
        <v>0</v>
      </c>
      <c r="J75" s="81">
        <v>-33915017.450000003</v>
      </c>
      <c r="K75" s="126" t="s">
        <v>132</v>
      </c>
    </row>
    <row r="76" spans="1:12" s="4" customFormat="1" ht="24.75" customHeight="1" thickBot="1" x14ac:dyDescent="0.3">
      <c r="A76" s="6" t="s">
        <v>112</v>
      </c>
      <c r="B76" s="7" t="s">
        <v>62</v>
      </c>
      <c r="C76" s="81">
        <f>+C3+C4-C22</f>
        <v>1306441025.9300041</v>
      </c>
      <c r="D76" s="81">
        <f>+D3+D4-D22+D75</f>
        <v>2880636244.4000015</v>
      </c>
      <c r="E76" s="82" t="s">
        <v>132</v>
      </c>
      <c r="F76" s="81">
        <f>+F3+F4-F22+F75</f>
        <v>42265729.080000989</v>
      </c>
      <c r="G76" s="81">
        <f>+G3+G4-G22+G75</f>
        <v>924537682.43999898</v>
      </c>
      <c r="H76" s="83">
        <f t="shared" si="31"/>
        <v>21.874405163815464</v>
      </c>
      <c r="I76" s="81">
        <f>+I3+I4-I22+I75</f>
        <v>171937535.44000053</v>
      </c>
      <c r="J76" s="81">
        <f>+J3+J4-J22+J75</f>
        <v>524544879.05000001</v>
      </c>
      <c r="K76" s="126">
        <f t="shared" si="34"/>
        <v>3.0507874717853314</v>
      </c>
    </row>
    <row r="79" spans="1:12" x14ac:dyDescent="0.25">
      <c r="C79" s="48"/>
      <c r="D79" s="48"/>
      <c r="E79" s="48"/>
      <c r="F79" s="48"/>
      <c r="G79" s="48"/>
      <c r="H79" s="48"/>
      <c r="I79" s="48"/>
      <c r="J79" s="48"/>
      <c r="K79" s="48"/>
    </row>
  </sheetData>
  <sheetProtection algorithmName="SHA-512" hashValue="mvb4AEcaFRAxPFjF7GVZb8/taqFS3pN6pPEvVKgy6rQyRuNubukU0tapSRqhdVEeSA6aT0AaVwujKML668PBbA==" saltValue="EfW/lE81WB3nLCNaZmy0RA==" spinCount="100000" sheet="1" objects="1" scenarios="1"/>
  <printOptions horizontalCentered="1"/>
  <pageMargins left="0.51181102362204722" right="0.51181102362204722" top="0.55118110236220474" bottom="0.55118110236220474" header="0.31496062992125984" footer="0.31496062992125984"/>
  <pageSetup paperSize="8" scale="41" fitToHeight="2" orientation="landscape" r:id="rId1"/>
  <rowBreaks count="1" manualBreakCount="1">
    <brk id="4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FPOM</vt:lpstr>
      <vt:lpstr>FPOM!Obszar_wydruku</vt:lpstr>
      <vt:lpstr>FPOM!Tytuły_wydruku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Jóźwik Izabela</dc:creator>
  <cp:lastModifiedBy>Znojkiewicz Sylwia</cp:lastModifiedBy>
  <cp:lastPrinted>2024-12-18T18:37:09Z</cp:lastPrinted>
  <dcterms:created xsi:type="dcterms:W3CDTF">2022-04-22T10:30:06Z</dcterms:created>
  <dcterms:modified xsi:type="dcterms:W3CDTF">2026-03-03T09:41:30Z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UxC4dwLulzfINJ8nQH+xvX5LNGipWa4BRSZhPgxsCvn1ZA+3JllS0ijitcuNlqZcbxPbLTVx68ElZhQ0IXDjbw==</vt:lpwstr>
  </property>
  <property fmtid="{D5CDD505-2E9C-101B-9397-08002B2CF9AE}" pid="4" name="MFClassificationDate">
    <vt:lpwstr>2022-04-22T12:37:02.8156588+02:00</vt:lpwstr>
  </property>
  <property fmtid="{D5CDD505-2E9C-101B-9397-08002B2CF9AE}" pid="5" name="MFClassifiedBySID">
    <vt:lpwstr>UxC4dwLulzfINJ8nQH+xvX5LNGipWa4BRSZhPgxsCvm42mrIC/DSDv0ggS+FjUN/2v1BBotkLlY5aAiEhoi6uWOQjDXbca9l4pMk7hYqkEbdE8CbihyetNEIaDrxyCd2</vt:lpwstr>
  </property>
  <property fmtid="{D5CDD505-2E9C-101B-9397-08002B2CF9AE}" pid="6" name="MFGRNItemId">
    <vt:lpwstr>GRN-e2ed2d1e-ba6d-437b-9749-c55a52bfb122</vt:lpwstr>
  </property>
  <property fmtid="{D5CDD505-2E9C-101B-9397-08002B2CF9AE}" pid="7" name="MFHash">
    <vt:lpwstr>7N3EVl8Q++l0/vJA/mCgO4sdUnRcqOJxlzKDf54rUpg=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