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29" i="7"/>
  <c r="A66" i="7"/>
  <c r="A8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<sst xmlns="http://schemas.openxmlformats.org/spreadsheetml/2006/main" count="97" uniqueCount="81">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</sst>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14" xfId="37" applyFont="1" applyFill="1" applyBorder="1" applyAlignment="1">
      <alignment horizontal="center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2023 roku            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62" t="s">
        <v>0</v>
      </c>
      <c r="B6" s="37" t="s">
        <v>62</v>
      </c>
      <c r="C6" s="32" t="s">
        <v>66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2" t="s">
        <v>65</v>
      </c>
      <c r="P6" s="33"/>
      <c r="Q6" s="34"/>
    </row>
    <row r="7" spans="1:17" ht="13.5" customHeight="1" x14ac:dyDescent="0.2">
      <c r="A7" s="63"/>
      <c r="B7" s="38"/>
      <c r="C7" s="39" t="s">
        <v>63</v>
      </c>
      <c r="D7" s="39" t="s">
        <v>74</v>
      </c>
      <c r="E7" s="39" t="s">
        <v>67</v>
      </c>
      <c r="F7" s="39" t="s">
        <v>68</v>
      </c>
      <c r="G7" s="39" t="s">
        <v>27</v>
      </c>
      <c r="H7" s="39" t="s">
        <v>28</v>
      </c>
      <c r="I7" s="80" t="s">
        <v>64</v>
      </c>
      <c r="J7" s="39" t="s">
        <v>16</v>
      </c>
      <c r="K7" s="39" t="s">
        <v>17</v>
      </c>
      <c r="L7" s="39" t="s">
        <v>18</v>
      </c>
      <c r="M7" s="39" t="s">
        <v>19</v>
      </c>
      <c r="N7" s="38" t="s">
        <v>20</v>
      </c>
      <c r="O7" s="35" t="s">
        <v>21</v>
      </c>
      <c r="P7" s="35" t="s">
        <v>22</v>
      </c>
      <c r="Q7" s="35" t="s">
        <v>23</v>
      </c>
    </row>
    <row r="8" spans="1:17" ht="13.5" customHeight="1" x14ac:dyDescent="0.2">
      <c r="A8" s="63"/>
      <c r="B8" s="38"/>
      <c r="C8" s="35"/>
      <c r="D8" s="35"/>
      <c r="E8" s="35"/>
      <c r="F8" s="35"/>
      <c r="G8" s="35"/>
      <c r="H8" s="35"/>
      <c r="I8" s="80"/>
      <c r="J8" s="35"/>
      <c r="K8" s="35"/>
      <c r="L8" s="35"/>
      <c r="M8" s="35"/>
      <c r="N8" s="38"/>
      <c r="O8" s="35"/>
      <c r="P8" s="35"/>
      <c r="Q8" s="35"/>
    </row>
    <row r="9" spans="1:17" ht="11.25" customHeight="1" x14ac:dyDescent="0.2">
      <c r="A9" s="63"/>
      <c r="B9" s="38"/>
      <c r="C9" s="35"/>
      <c r="D9" s="35"/>
      <c r="E9" s="35"/>
      <c r="F9" s="35"/>
      <c r="G9" s="35"/>
      <c r="H9" s="35"/>
      <c r="I9" s="80"/>
      <c r="J9" s="35"/>
      <c r="K9" s="35"/>
      <c r="L9" s="35"/>
      <c r="M9" s="35"/>
      <c r="N9" s="38"/>
      <c r="O9" s="35"/>
      <c r="P9" s="35"/>
      <c r="Q9" s="35"/>
    </row>
    <row r="10" spans="1:17" ht="11.25" customHeight="1" x14ac:dyDescent="0.2">
      <c r="A10" s="64"/>
      <c r="B10" s="39"/>
      <c r="C10" s="35"/>
      <c r="D10" s="35"/>
      <c r="E10" s="35"/>
      <c r="F10" s="35"/>
      <c r="G10" s="35"/>
      <c r="H10" s="35"/>
      <c r="I10" s="81"/>
      <c r="J10" s="35"/>
      <c r="K10" s="35"/>
      <c r="L10" s="35"/>
      <c r="M10" s="35"/>
      <c r="N10" s="39"/>
      <c r="O10" s="35"/>
      <c r="P10" s="35"/>
      <c r="Q10" s="35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28" t="s">
        <v>77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46"/>
    </row>
    <row r="13" spans="1:17" ht="45.75" customHeight="1" x14ac:dyDescent="0.2">
      <c r="A13" s="20" t="s">
        <v>78</v>
      </c>
      <c r="B13" s="22">
        <f>302040981.81</f>
        <v>302040981.81</v>
      </c>
      <c r="C13" s="22">
        <f>302040981.81</f>
        <v>302040981.81</v>
      </c>
      <c r="D13" s="22">
        <f>179597935.95</f>
        <v>179597935.94999999</v>
      </c>
      <c r="E13" s="22">
        <f>471224.46</f>
        <v>471224.46</v>
      </c>
      <c r="F13" s="22">
        <f>144802531.69</f>
        <v>144802531.69</v>
      </c>
      <c r="G13" s="22">
        <f>34324179.8</f>
        <v>34324179.799999997</v>
      </c>
      <c r="H13" s="22">
        <f>0</f>
        <v>0</v>
      </c>
      <c r="I13" s="22">
        <f>0</f>
        <v>0</v>
      </c>
      <c r="J13" s="22">
        <f>121851015.19</f>
        <v>121851015.19</v>
      </c>
      <c r="K13" s="22">
        <f>592030.67</f>
        <v>592030.67000000004</v>
      </c>
      <c r="L13" s="22">
        <f>0</f>
        <v>0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302040606.81</f>
        <v>302040606.81</v>
      </c>
      <c r="C17" s="22">
        <f>302040606.81</f>
        <v>302040606.81</v>
      </c>
      <c r="D17" s="22">
        <f>179597560.95</f>
        <v>179597560.94999999</v>
      </c>
      <c r="E17" s="22">
        <f>471224.46</f>
        <v>471224.46</v>
      </c>
      <c r="F17" s="22">
        <f>144802531.69</f>
        <v>144802531.69</v>
      </c>
      <c r="G17" s="22">
        <f>34323804.8</f>
        <v>34323804.799999997</v>
      </c>
      <c r="H17" s="22">
        <f>0</f>
        <v>0</v>
      </c>
      <c r="I17" s="22">
        <f>0</f>
        <v>0</v>
      </c>
      <c r="J17" s="22">
        <f>121851015.19</f>
        <v>121851015.19</v>
      </c>
      <c r="K17" s="22">
        <f>592030.67</f>
        <v>592030.67000000004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11949633.69</f>
        <v>11949633.689999999</v>
      </c>
      <c r="C18" s="23">
        <f>11949633.69</f>
        <v>11949633.689999999</v>
      </c>
      <c r="D18" s="23">
        <f>722781</f>
        <v>722781</v>
      </c>
      <c r="E18" s="23">
        <f>0</f>
        <v>0</v>
      </c>
      <c r="F18" s="23">
        <f>0</f>
        <v>0</v>
      </c>
      <c r="G18" s="23">
        <f>722781</f>
        <v>722781</v>
      </c>
      <c r="H18" s="23">
        <f>0</f>
        <v>0</v>
      </c>
      <c r="I18" s="23">
        <f>0</f>
        <v>0</v>
      </c>
      <c r="J18" s="23">
        <f>11226852.69</f>
        <v>11226852.689999999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290090973.12</f>
        <v>290090973.12</v>
      </c>
      <c r="C19" s="23">
        <f>290090973.12</f>
        <v>290090973.12</v>
      </c>
      <c r="D19" s="23">
        <f>178874779.95</f>
        <v>178874779.94999999</v>
      </c>
      <c r="E19" s="23">
        <f>471224.46</f>
        <v>471224.46</v>
      </c>
      <c r="F19" s="23">
        <f>144802531.69</f>
        <v>144802531.69</v>
      </c>
      <c r="G19" s="23">
        <f>33601023.8</f>
        <v>33601023.799999997</v>
      </c>
      <c r="H19" s="23">
        <f>0</f>
        <v>0</v>
      </c>
      <c r="I19" s="23">
        <f>0</f>
        <v>0</v>
      </c>
      <c r="J19" s="23">
        <f>110624162.5</f>
        <v>110624162.5</v>
      </c>
      <c r="K19" s="23">
        <f>592030.67</f>
        <v>592030.67000000004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375</f>
        <v>375</v>
      </c>
      <c r="C21" s="22">
        <f>375</f>
        <v>375</v>
      </c>
      <c r="D21" s="22">
        <f>375</f>
        <v>375</v>
      </c>
      <c r="E21" s="22">
        <f>0</f>
        <v>0</v>
      </c>
      <c r="F21" s="22">
        <f>0</f>
        <v>0</v>
      </c>
      <c r="G21" s="22">
        <f>375</f>
        <v>375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0</f>
        <v>0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0</f>
        <v>0</v>
      </c>
      <c r="C22" s="23">
        <f>0</f>
        <v>0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0</f>
        <v>0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375</f>
        <v>375</v>
      </c>
      <c r="C23" s="23">
        <f>375</f>
        <v>375</v>
      </c>
      <c r="D23" s="23">
        <f>375</f>
        <v>375</v>
      </c>
      <c r="E23" s="23">
        <f>0</f>
        <v>0</v>
      </c>
      <c r="F23" s="23">
        <f>0</f>
        <v>0</v>
      </c>
      <c r="G23" s="23">
        <f>375</f>
        <v>375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2023 roku                 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1" spans="1:17" ht="13.5" customHeight="1" x14ac:dyDescent="0.2">
      <c r="A31" s="45" t="s">
        <v>11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3" spans="1:17" ht="13.5" customHeight="1" x14ac:dyDescent="0.2">
      <c r="A33" s="62" t="s">
        <v>0</v>
      </c>
      <c r="B33" s="37" t="s">
        <v>12</v>
      </c>
      <c r="C33" s="76" t="s">
        <v>14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76" t="s">
        <v>24</v>
      </c>
      <c r="P33" s="77"/>
      <c r="Q33" s="78"/>
    </row>
    <row r="34" spans="1:17" ht="13.5" customHeight="1" x14ac:dyDescent="0.2">
      <c r="A34" s="63"/>
      <c r="B34" s="38"/>
      <c r="C34" s="38" t="s">
        <v>13</v>
      </c>
      <c r="D34" s="35" t="s">
        <v>15</v>
      </c>
      <c r="E34" s="35" t="s">
        <v>25</v>
      </c>
      <c r="F34" s="35" t="s">
        <v>26</v>
      </c>
      <c r="G34" s="35" t="s">
        <v>71</v>
      </c>
      <c r="H34" s="35" t="s">
        <v>28</v>
      </c>
      <c r="I34" s="35" t="s">
        <v>1</v>
      </c>
      <c r="J34" s="35" t="s">
        <v>16</v>
      </c>
      <c r="K34" s="35" t="s">
        <v>17</v>
      </c>
      <c r="L34" s="35" t="s">
        <v>18</v>
      </c>
      <c r="M34" s="35" t="s">
        <v>19</v>
      </c>
      <c r="N34" s="40" t="s">
        <v>20</v>
      </c>
      <c r="O34" s="35" t="s">
        <v>21</v>
      </c>
      <c r="P34" s="35" t="s">
        <v>22</v>
      </c>
      <c r="Q34" s="37" t="s">
        <v>23</v>
      </c>
    </row>
    <row r="35" spans="1:17" ht="13.5" customHeight="1" x14ac:dyDescent="0.2">
      <c r="A35" s="63"/>
      <c r="B35" s="38"/>
      <c r="C35" s="38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0"/>
      <c r="O35" s="35"/>
      <c r="P35" s="35"/>
      <c r="Q35" s="38"/>
    </row>
    <row r="36" spans="1:17" ht="11.25" customHeight="1" x14ac:dyDescent="0.2">
      <c r="A36" s="63"/>
      <c r="B36" s="38"/>
      <c r="C36" s="38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40"/>
      <c r="O36" s="35"/>
      <c r="P36" s="35"/>
      <c r="Q36" s="38"/>
    </row>
    <row r="37" spans="1:17" ht="11.25" customHeight="1" x14ac:dyDescent="0.2">
      <c r="A37" s="64"/>
      <c r="B37" s="39"/>
      <c r="C37" s="3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0"/>
      <c r="O37" s="35"/>
      <c r="P37" s="35"/>
      <c r="Q37" s="39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73" t="s">
        <v>77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0</f>
        <v>0</v>
      </c>
      <c r="C43" s="24">
        <f>0</f>
        <v>0</v>
      </c>
      <c r="D43" s="24">
        <f>0</f>
        <v>0</v>
      </c>
      <c r="E43" s="24">
        <f>0</f>
        <v>0</v>
      </c>
      <c r="F43" s="24">
        <f>0</f>
        <v>0</v>
      </c>
      <c r="G43" s="24">
        <f>0</f>
        <v>0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0</f>
        <v>0</v>
      </c>
      <c r="C45" s="25">
        <f>0</f>
        <v>0</v>
      </c>
      <c r="D45" s="25">
        <f>0</f>
        <v>0</v>
      </c>
      <c r="E45" s="25">
        <f>0</f>
        <v>0</v>
      </c>
      <c r="F45" s="25">
        <f>0</f>
        <v>0</v>
      </c>
      <c r="G45" s="25">
        <f>0</f>
        <v>0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1370234279.69</f>
        <v>1370234279.6900001</v>
      </c>
      <c r="C46" s="24">
        <f>1370234279.69</f>
        <v>1370234279.6900001</v>
      </c>
      <c r="D46" s="24">
        <f>1170115.34</f>
        <v>1170115.3400000001</v>
      </c>
      <c r="E46" s="24">
        <f>0</f>
        <v>0</v>
      </c>
      <c r="F46" s="24">
        <f>0</f>
        <v>0</v>
      </c>
      <c r="G46" s="24">
        <f>1170115.34</f>
        <v>1170115.3400000001</v>
      </c>
      <c r="H46" s="24">
        <f>0</f>
        <v>0</v>
      </c>
      <c r="I46" s="24">
        <f>0</f>
        <v>0</v>
      </c>
      <c r="J46" s="24">
        <f>1368839109.88</f>
        <v>1368839109.8800001</v>
      </c>
      <c r="K46" s="24">
        <f>55</f>
        <v>55</v>
      </c>
      <c r="L46" s="24">
        <f>224949.47</f>
        <v>224949.47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1065130.36</f>
        <v>1065130.3600000001</v>
      </c>
      <c r="C47" s="25">
        <f>1065130.36</f>
        <v>1065130.3600000001</v>
      </c>
      <c r="D47" s="25">
        <f>1065130.36</f>
        <v>1065130.3600000001</v>
      </c>
      <c r="E47" s="25">
        <f>0</f>
        <v>0</v>
      </c>
      <c r="F47" s="25">
        <f>0</f>
        <v>0</v>
      </c>
      <c r="G47" s="25">
        <f>1065130.36</f>
        <v>1065130.3600000001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660147687.13</f>
        <v>660147687.13</v>
      </c>
      <c r="C48" s="25">
        <f>660147687.13</f>
        <v>660147687.13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660043457.13</f>
        <v>660043457.13</v>
      </c>
      <c r="K48" s="25">
        <f>55</f>
        <v>55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709021462.2</f>
        <v>709021462.20000005</v>
      </c>
      <c r="C49" s="25">
        <f>709021462.2</f>
        <v>709021462.20000005</v>
      </c>
      <c r="D49" s="25">
        <f>859.98</f>
        <v>859.98</v>
      </c>
      <c r="E49" s="25">
        <f>0</f>
        <v>0</v>
      </c>
      <c r="F49" s="25">
        <f>0</f>
        <v>0</v>
      </c>
      <c r="G49" s="25">
        <f>859.98</f>
        <v>859.98</v>
      </c>
      <c r="H49" s="25">
        <f>0</f>
        <v>0</v>
      </c>
      <c r="I49" s="25">
        <f>0</f>
        <v>0</v>
      </c>
      <c r="J49" s="25">
        <f>708795652.75</f>
        <v>708795652.75</v>
      </c>
      <c r="K49" s="25">
        <f>0</f>
        <v>0</v>
      </c>
      <c r="L49" s="25">
        <f>224949.47</f>
        <v>224949.47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445037753.41</f>
        <v>445037753.41000003</v>
      </c>
      <c r="C50" s="24">
        <f>445037753.41</f>
        <v>445037753.41000003</v>
      </c>
      <c r="D50" s="24">
        <f>7350461.01</f>
        <v>7350461.0099999998</v>
      </c>
      <c r="E50" s="24">
        <f>3227.9</f>
        <v>3227.9</v>
      </c>
      <c r="F50" s="24">
        <f>1822939.05</f>
        <v>1822939.05</v>
      </c>
      <c r="G50" s="24">
        <f>5523202.21</f>
        <v>5523202.21</v>
      </c>
      <c r="H50" s="24">
        <f>1091.85</f>
        <v>1091.8499999999999</v>
      </c>
      <c r="I50" s="24">
        <f>0</f>
        <v>0</v>
      </c>
      <c r="J50" s="24">
        <f>802.96</f>
        <v>802.96</v>
      </c>
      <c r="K50" s="24">
        <f>4583.76</f>
        <v>4583.76</v>
      </c>
      <c r="L50" s="24">
        <f>27376588.63</f>
        <v>27376588.629999999</v>
      </c>
      <c r="M50" s="24">
        <f>407506651.14</f>
        <v>407506651.13999999</v>
      </c>
      <c r="N50" s="24">
        <f>2798665.91</f>
        <v>2798665.91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10397108.92</f>
        <v>10397108.92</v>
      </c>
      <c r="C51" s="25">
        <f>10397108.92</f>
        <v>10397108.92</v>
      </c>
      <c r="D51" s="25">
        <f>2505711.02</f>
        <v>2505711.02</v>
      </c>
      <c r="E51" s="25">
        <f>0</f>
        <v>0</v>
      </c>
      <c r="F51" s="25">
        <f>0</f>
        <v>0</v>
      </c>
      <c r="G51" s="25">
        <f>2505711.02</f>
        <v>2505711.02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2701508.37</f>
        <v>2701508.37</v>
      </c>
      <c r="M51" s="25">
        <f>3792935.07</f>
        <v>3792935.07</v>
      </c>
      <c r="N51" s="25">
        <f>1396954.46</f>
        <v>1396954.46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434640644.49</f>
        <v>434640644.49000001</v>
      </c>
      <c r="C52" s="25">
        <f>434640644.49</f>
        <v>434640644.49000001</v>
      </c>
      <c r="D52" s="25">
        <f>4844749.99</f>
        <v>4844749.99</v>
      </c>
      <c r="E52" s="25">
        <f>3227.9</f>
        <v>3227.9</v>
      </c>
      <c r="F52" s="25">
        <f>1822939.05</f>
        <v>1822939.05</v>
      </c>
      <c r="G52" s="25">
        <f>3017491.19</f>
        <v>3017491.19</v>
      </c>
      <c r="H52" s="25">
        <f>1091.85</f>
        <v>1091.8499999999999</v>
      </c>
      <c r="I52" s="25">
        <f>0</f>
        <v>0</v>
      </c>
      <c r="J52" s="25">
        <f>802.96</f>
        <v>802.96</v>
      </c>
      <c r="K52" s="25">
        <f>4583.76</f>
        <v>4583.76</v>
      </c>
      <c r="L52" s="25">
        <f>24675080.26</f>
        <v>24675080.260000002</v>
      </c>
      <c r="M52" s="25">
        <f>403713716.07</f>
        <v>403713716.06999999</v>
      </c>
      <c r="N52" s="25">
        <f>1401711.45</f>
        <v>1401711.45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1200044153.22</f>
        <v>1200044153.22</v>
      </c>
      <c r="C53" s="24">
        <f>1200044153.22</f>
        <v>1200044153.22</v>
      </c>
      <c r="D53" s="24">
        <f>766235236.66</f>
        <v>766235236.65999997</v>
      </c>
      <c r="E53" s="24">
        <f>42529393.47</f>
        <v>42529393.469999999</v>
      </c>
      <c r="F53" s="24">
        <f>5273623.16</f>
        <v>5273623.16</v>
      </c>
      <c r="G53" s="24">
        <f>718400792.29</f>
        <v>718400792.28999996</v>
      </c>
      <c r="H53" s="24">
        <f>31427.74</f>
        <v>31427.74</v>
      </c>
      <c r="I53" s="24">
        <f>0</f>
        <v>0</v>
      </c>
      <c r="J53" s="24">
        <f>83480.57</f>
        <v>83480.570000000007</v>
      </c>
      <c r="K53" s="24">
        <f>580485.69</f>
        <v>580485.68999999994</v>
      </c>
      <c r="L53" s="24">
        <f>70973178.63</f>
        <v>70973178.629999995</v>
      </c>
      <c r="M53" s="24">
        <f>340577479.35</f>
        <v>340577479.35000002</v>
      </c>
      <c r="N53" s="24">
        <f>21594292.32</f>
        <v>21594292.32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64368234.12</f>
        <v>64368234.119999997</v>
      </c>
      <c r="C54" s="25">
        <f>64368234.12</f>
        <v>64368234.119999997</v>
      </c>
      <c r="D54" s="25">
        <f>26192498.46</f>
        <v>26192498.460000001</v>
      </c>
      <c r="E54" s="25">
        <f>2973256.45</f>
        <v>2973256.45</v>
      </c>
      <c r="F54" s="25">
        <f>4709802.27</f>
        <v>4709802.2699999996</v>
      </c>
      <c r="G54" s="25">
        <f>18509439.74</f>
        <v>18509439.739999998</v>
      </c>
      <c r="H54" s="25">
        <f>0</f>
        <v>0</v>
      </c>
      <c r="I54" s="25">
        <f>0</f>
        <v>0</v>
      </c>
      <c r="J54" s="25">
        <f>57.79</f>
        <v>57.79</v>
      </c>
      <c r="K54" s="25">
        <f>0</f>
        <v>0</v>
      </c>
      <c r="L54" s="25">
        <f>22654389.9</f>
        <v>22654389.899999999</v>
      </c>
      <c r="M54" s="25">
        <f>2243127.82</f>
        <v>2243127.8199999998</v>
      </c>
      <c r="N54" s="25">
        <f>13278160.15</f>
        <v>13278160.15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32870123.78</f>
        <v>32870123.780000001</v>
      </c>
      <c r="C55" s="25">
        <f>32870123.78</f>
        <v>32870123.780000001</v>
      </c>
      <c r="D55" s="25">
        <f>5394649.59</f>
        <v>5394649.5899999999</v>
      </c>
      <c r="E55" s="25">
        <f>5089095.63</f>
        <v>5089095.63</v>
      </c>
      <c r="F55" s="25">
        <f>81530.46</f>
        <v>81530.460000000006</v>
      </c>
      <c r="G55" s="25">
        <f>224023.5</f>
        <v>224023.5</v>
      </c>
      <c r="H55" s="25">
        <f>0</f>
        <v>0</v>
      </c>
      <c r="I55" s="25">
        <f>0</f>
        <v>0</v>
      </c>
      <c r="J55" s="25">
        <f>6710.4</f>
        <v>6710.4</v>
      </c>
      <c r="K55" s="25">
        <f>2041.2</f>
        <v>2041.2</v>
      </c>
      <c r="L55" s="25">
        <f>2779277.75</f>
        <v>2779277.75</v>
      </c>
      <c r="M55" s="25">
        <f>23714948.92</f>
        <v>23714948.920000002</v>
      </c>
      <c r="N55" s="25">
        <f>972495.92</f>
        <v>972495.92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1102805795.32</f>
        <v>1102805795.3199999</v>
      </c>
      <c r="C56" s="25">
        <f>1102805795.32</f>
        <v>1102805795.3199999</v>
      </c>
      <c r="D56" s="25">
        <f>734648088.61</f>
        <v>734648088.61000001</v>
      </c>
      <c r="E56" s="25">
        <f>34467041.39</f>
        <v>34467041.390000001</v>
      </c>
      <c r="F56" s="25">
        <f>482290.43</f>
        <v>482290.43</v>
      </c>
      <c r="G56" s="25">
        <f>699667329.05</f>
        <v>699667329.04999995</v>
      </c>
      <c r="H56" s="25">
        <f>31427.74</f>
        <v>31427.74</v>
      </c>
      <c r="I56" s="25">
        <f>0</f>
        <v>0</v>
      </c>
      <c r="J56" s="25">
        <f>76712.38</f>
        <v>76712.38</v>
      </c>
      <c r="K56" s="25">
        <f>578444.49</f>
        <v>578444.49</v>
      </c>
      <c r="L56" s="25">
        <f>45539510.98</f>
        <v>45539510.979999997</v>
      </c>
      <c r="M56" s="25">
        <f>314619402.61</f>
        <v>314619402.61000001</v>
      </c>
      <c r="N56" s="25">
        <f>7343636.25</f>
        <v>7343636.25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2023 roku            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45" t="s">
        <v>2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70" spans="1:13" ht="16.5" customHeight="1" x14ac:dyDescent="0.2">
      <c r="B70" s="47" t="s">
        <v>0</v>
      </c>
      <c r="C70" s="48"/>
      <c r="D70" s="48"/>
      <c r="E70" s="49"/>
      <c r="F70" s="82" t="s">
        <v>69</v>
      </c>
      <c r="G70" s="28" t="s">
        <v>75</v>
      </c>
      <c r="H70" s="59"/>
      <c r="I70" s="59"/>
      <c r="J70" s="59"/>
      <c r="K70" s="59"/>
      <c r="L70" s="46"/>
    </row>
    <row r="71" spans="1:13" ht="13.5" customHeight="1" x14ac:dyDescent="0.2">
      <c r="B71" s="50"/>
      <c r="C71" s="51"/>
      <c r="D71" s="51"/>
      <c r="E71" s="52"/>
      <c r="F71" s="83"/>
      <c r="G71" s="85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31" t="s">
        <v>73</v>
      </c>
    </row>
    <row r="72" spans="1:13" ht="13.5" customHeight="1" x14ac:dyDescent="0.2">
      <c r="B72" s="50"/>
      <c r="C72" s="51"/>
      <c r="D72" s="51"/>
      <c r="E72" s="52"/>
      <c r="F72" s="83"/>
      <c r="G72" s="85"/>
      <c r="H72" s="27"/>
      <c r="I72" s="27"/>
      <c r="J72" s="27"/>
      <c r="K72" s="27"/>
      <c r="L72" s="31"/>
    </row>
    <row r="73" spans="1:13" ht="11.25" customHeight="1" x14ac:dyDescent="0.2">
      <c r="B73" s="50"/>
      <c r="C73" s="51"/>
      <c r="D73" s="51"/>
      <c r="E73" s="52"/>
      <c r="F73" s="83"/>
      <c r="G73" s="85"/>
      <c r="H73" s="27"/>
      <c r="I73" s="27"/>
      <c r="J73" s="27"/>
      <c r="K73" s="27"/>
      <c r="L73" s="31"/>
    </row>
    <row r="74" spans="1:13" ht="11.25" customHeight="1" x14ac:dyDescent="0.2">
      <c r="B74" s="53"/>
      <c r="C74" s="54"/>
      <c r="D74" s="54"/>
      <c r="E74" s="55"/>
      <c r="F74" s="84"/>
      <c r="G74" s="85"/>
      <c r="H74" s="27"/>
      <c r="I74" s="27"/>
      <c r="J74" s="27"/>
      <c r="K74" s="27"/>
      <c r="L74" s="31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28" t="s">
        <v>77</v>
      </c>
      <c r="G76" s="29"/>
      <c r="H76" s="29"/>
      <c r="I76" s="29"/>
      <c r="J76" s="29"/>
      <c r="K76" s="29"/>
      <c r="L76" s="30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2023 roku                 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13.5" customHeight="1" x14ac:dyDescent="0.2">
      <c r="B87" s="4"/>
    </row>
    <row r="88" spans="1:13" ht="13.5" customHeight="1" x14ac:dyDescent="0.2">
      <c r="B88" s="5"/>
      <c r="C88" s="28"/>
      <c r="D88" s="59"/>
      <c r="E88" s="59"/>
      <c r="F88" s="46"/>
      <c r="G88" s="28" t="s">
        <v>3</v>
      </c>
      <c r="H88" s="46"/>
      <c r="I88" s="28" t="s">
        <v>4</v>
      </c>
      <c r="J88" s="46"/>
      <c r="K88" s="5"/>
    </row>
    <row r="89" spans="1:13" ht="13.5" customHeight="1" x14ac:dyDescent="0.2">
      <c r="B89" s="6"/>
      <c r="C89" s="65" t="s">
        <v>5</v>
      </c>
      <c r="D89" s="66"/>
      <c r="E89" s="66"/>
      <c r="F89" s="67"/>
      <c r="G89" s="41">
        <f>106</f>
        <v>106</v>
      </c>
      <c r="H89" s="42"/>
      <c r="I89" s="43">
        <f>111105798.96</f>
        <v>111105798.95999999</v>
      </c>
      <c r="J89" s="44"/>
      <c r="K89" s="7"/>
    </row>
    <row r="90" spans="1:13" ht="13.5" customHeight="1" x14ac:dyDescent="0.2">
      <c r="B90" s="6"/>
      <c r="C90" s="68" t="s">
        <v>6</v>
      </c>
      <c r="D90" s="69"/>
      <c r="E90" s="69"/>
      <c r="F90" s="70"/>
      <c r="G90" s="71">
        <f>52</f>
        <v>52</v>
      </c>
      <c r="H90" s="72"/>
      <c r="I90" s="60">
        <f>-50375675.09</f>
        <v>-50375675.090000004</v>
      </c>
      <c r="J90" s="61"/>
      <c r="K90" s="7"/>
    </row>
    <row r="91" spans="1:13" ht="13.5" customHeight="1" x14ac:dyDescent="0.2">
      <c r="B91" s="6"/>
      <c r="C91" s="65" t="s">
        <v>7</v>
      </c>
      <c r="D91" s="66"/>
      <c r="E91" s="66"/>
      <c r="F91" s="67"/>
      <c r="G91" s="41">
        <f>0</f>
        <v>0</v>
      </c>
      <c r="H91" s="42"/>
      <c r="I91" s="43">
        <f>0</f>
        <v>0</v>
      </c>
      <c r="J91" s="44"/>
      <c r="K91" s="7"/>
    </row>
    <row r="94" spans="1:13" ht="13.5" customHeight="1" x14ac:dyDescent="0.2">
      <c r="A94" s="8" t="s">
        <v>8</v>
      </c>
      <c r="B94" s="8">
        <f>1</f>
        <v>1</v>
      </c>
      <c r="C94" s="8" t="str">
        <f>IF(B94=1,"I Kwartał",IF(B94=2,"II Kwartały",IF(B94=3,"III Kwartały",IF(B94=4,"IV Kwartały","-"))))</f>
        <v>I Kwartał</v>
      </c>
    </row>
    <row r="95" spans="1:13" ht="13.5" customHeight="1" x14ac:dyDescent="0.2">
      <c r="A95" s="8" t="s">
        <v>9</v>
      </c>
      <c r="B95" s="8">
        <f>2023</f>
        <v>2023</v>
      </c>
      <c r="C95" s="9"/>
    </row>
    <row r="96" spans="1:13" ht="13.5" customHeight="1" x14ac:dyDescent="0.2">
      <c r="A96" s="8" t="s">
        <v>10</v>
      </c>
      <c r="B96" s="10" t="str">
        <f>"May 26 2023 12:00AM"</f>
        <v>May 26 2023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  <mergeCell ref="O33:Q33"/>
    <mergeCell ref="A31:M31"/>
    <mergeCell ref="B33:B37"/>
    <mergeCell ref="A33:A37"/>
    <mergeCell ref="C34:C37"/>
    <mergeCell ref="E34:E37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B12:Q12"/>
    <mergeCell ref="B39:Q39"/>
    <mergeCell ref="Q7:Q10"/>
    <mergeCell ref="C33:N33"/>
    <mergeCell ref="N7:N10"/>
    <mergeCell ref="P7:P10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2023-06-01T13:55:43Z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2023-06-01T15:40:54.7641713+02:00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GRN-5ff92a44-ce58-4a08-a38c-e3df21f502ea</vt:lpwstr>
  </property>
  <property fmtid="{D5CDD505-2E9C-101B-9397-08002B2CF9AE}" pid="7" name="MFHash">
    <vt:lpwstr>t0y23mgrJDP8M28h62A0xV9WocfA5xYxASukINzFQxI=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