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6\I kwartał\2026.05.18 dane ostateczne\Zbiorówki_2026_k1_2026.05.18\Publikacja\"/>
    </mc:Choice>
  </mc:AlternateContent>
  <xr:revisionPtr revIDLastSave="0" documentId="13_ncr:1_{A286B40F-1770-40C0-AEB4-1674C9597E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h_wyd" sheetId="4" r:id="rId1"/>
  </sheets>
  <definedNames>
    <definedName name="_xlnm.Print_Area" localSheetId="0">doch_wyd!$B$1:$L$147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8" i="4" l="1"/>
  <c r="C147" i="4"/>
  <c r="C146" i="4"/>
  <c r="C145" i="4"/>
  <c r="D143" i="4"/>
  <c r="C143" i="4"/>
  <c r="D142" i="4"/>
  <c r="C142" i="4"/>
  <c r="D141" i="4"/>
  <c r="C141" i="4"/>
  <c r="D140" i="4"/>
  <c r="C140" i="4"/>
  <c r="D139" i="4"/>
  <c r="C139" i="4"/>
  <c r="D138" i="4"/>
  <c r="C138" i="4"/>
  <c r="D137" i="4"/>
  <c r="C137" i="4"/>
  <c r="D136" i="4"/>
  <c r="C136" i="4"/>
  <c r="D135" i="4"/>
  <c r="C135" i="4"/>
  <c r="D130" i="4"/>
  <c r="C130" i="4"/>
  <c r="F130" i="4" s="1"/>
  <c r="D129" i="4"/>
  <c r="F129" i="4" s="1"/>
  <c r="C129" i="4"/>
  <c r="D128" i="4"/>
  <c r="C128" i="4"/>
  <c r="D127" i="4"/>
  <c r="C127" i="4"/>
  <c r="D126" i="4"/>
  <c r="C126" i="4"/>
  <c r="D125" i="4"/>
  <c r="C125" i="4"/>
  <c r="D124" i="4"/>
  <c r="C124" i="4"/>
  <c r="D123" i="4"/>
  <c r="C123" i="4"/>
  <c r="D122" i="4"/>
  <c r="C122" i="4"/>
  <c r="D121" i="4"/>
  <c r="C121" i="4"/>
  <c r="D120" i="4"/>
  <c r="C120" i="4"/>
  <c r="D119" i="4"/>
  <c r="C119" i="4"/>
  <c r="D118" i="4"/>
  <c r="C118" i="4"/>
  <c r="D117" i="4"/>
  <c r="C117" i="4"/>
  <c r="D116" i="4"/>
  <c r="C116" i="4"/>
  <c r="D115" i="4"/>
  <c r="C115" i="4"/>
  <c r="D114" i="4"/>
  <c r="E119" i="4" s="1"/>
  <c r="C114" i="4"/>
  <c r="I106" i="4"/>
  <c r="H106" i="4"/>
  <c r="G106" i="4"/>
  <c r="F106" i="4"/>
  <c r="E106" i="4"/>
  <c r="D106" i="4"/>
  <c r="J106" i="4" s="1"/>
  <c r="C106" i="4"/>
  <c r="I105" i="4"/>
  <c r="H105" i="4"/>
  <c r="G105" i="4"/>
  <c r="F105" i="4"/>
  <c r="E105" i="4"/>
  <c r="D105" i="4"/>
  <c r="C105" i="4"/>
  <c r="G101" i="4"/>
  <c r="F101" i="4"/>
  <c r="E101" i="4"/>
  <c r="D101" i="4"/>
  <c r="C101" i="4"/>
  <c r="G100" i="4"/>
  <c r="F100" i="4"/>
  <c r="E100" i="4"/>
  <c r="D100" i="4"/>
  <c r="C100" i="4"/>
  <c r="G96" i="4"/>
  <c r="F96" i="4"/>
  <c r="E96" i="4"/>
  <c r="D96" i="4"/>
  <c r="C96" i="4"/>
  <c r="G95" i="4"/>
  <c r="F95" i="4"/>
  <c r="E95" i="4"/>
  <c r="D95" i="4"/>
  <c r="C95" i="4"/>
  <c r="I87" i="4"/>
  <c r="H87" i="4"/>
  <c r="G87" i="4"/>
  <c r="F87" i="4"/>
  <c r="E87" i="4"/>
  <c r="D87" i="4"/>
  <c r="C87" i="4"/>
  <c r="I86" i="4"/>
  <c r="H86" i="4"/>
  <c r="G86" i="4"/>
  <c r="F86" i="4"/>
  <c r="E86" i="4"/>
  <c r="D86" i="4"/>
  <c r="K86" i="4" s="1"/>
  <c r="C86" i="4"/>
  <c r="I85" i="4"/>
  <c r="H85" i="4"/>
  <c r="G85" i="4"/>
  <c r="F85" i="4"/>
  <c r="E85" i="4"/>
  <c r="D85" i="4"/>
  <c r="C85" i="4"/>
  <c r="I84" i="4"/>
  <c r="H84" i="4"/>
  <c r="G84" i="4"/>
  <c r="F84" i="4"/>
  <c r="E84" i="4"/>
  <c r="D84" i="4"/>
  <c r="C84" i="4"/>
  <c r="I83" i="4"/>
  <c r="H83" i="4"/>
  <c r="G83" i="4"/>
  <c r="F83" i="4"/>
  <c r="E83" i="4"/>
  <c r="D83" i="4"/>
  <c r="C83" i="4"/>
  <c r="I81" i="4"/>
  <c r="H81" i="4"/>
  <c r="G81" i="4"/>
  <c r="F81" i="4"/>
  <c r="E81" i="4"/>
  <c r="D81" i="4"/>
  <c r="C81" i="4"/>
  <c r="I80" i="4"/>
  <c r="H80" i="4"/>
  <c r="G80" i="4"/>
  <c r="F80" i="4"/>
  <c r="E80" i="4"/>
  <c r="D80" i="4"/>
  <c r="C80" i="4"/>
  <c r="I79" i="4"/>
  <c r="H79" i="4"/>
  <c r="G79" i="4"/>
  <c r="F79" i="4"/>
  <c r="E79" i="4"/>
  <c r="D79" i="4"/>
  <c r="C79" i="4"/>
  <c r="I68" i="4"/>
  <c r="H68" i="4"/>
  <c r="G68" i="4"/>
  <c r="F68" i="4"/>
  <c r="E68" i="4"/>
  <c r="E69" i="4" s="1"/>
  <c r="D68" i="4"/>
  <c r="C68" i="4"/>
  <c r="D65" i="4"/>
  <c r="C65" i="4"/>
  <c r="D64" i="4"/>
  <c r="C64" i="4"/>
  <c r="D63" i="4"/>
  <c r="K63" i="4" s="1"/>
  <c r="C63" i="4"/>
  <c r="D62" i="4"/>
  <c r="C62" i="4"/>
  <c r="D61" i="4"/>
  <c r="J61" i="4" s="1"/>
  <c r="C61" i="4"/>
  <c r="D60" i="4"/>
  <c r="C60" i="4"/>
  <c r="D59" i="4"/>
  <c r="J59" i="4" s="1"/>
  <c r="C59" i="4"/>
  <c r="D58" i="4"/>
  <c r="C58" i="4"/>
  <c r="D57" i="4"/>
  <c r="C57" i="4"/>
  <c r="D56" i="4"/>
  <c r="C56" i="4"/>
  <c r="D55" i="4"/>
  <c r="C55" i="4"/>
  <c r="D54" i="4"/>
  <c r="C54" i="4"/>
  <c r="D53" i="4"/>
  <c r="C53" i="4"/>
  <c r="D52" i="4"/>
  <c r="C52" i="4"/>
  <c r="D51" i="4"/>
  <c r="K51" i="4" s="1"/>
  <c r="C51" i="4"/>
  <c r="D50" i="4"/>
  <c r="C50" i="4"/>
  <c r="D49" i="4"/>
  <c r="C49" i="4"/>
  <c r="D48" i="4"/>
  <c r="C48" i="4"/>
  <c r="D47" i="4"/>
  <c r="C47" i="4"/>
  <c r="D46" i="4"/>
  <c r="C46" i="4"/>
  <c r="D45" i="4"/>
  <c r="C45" i="4"/>
  <c r="D44" i="4"/>
  <c r="C44" i="4"/>
  <c r="D43" i="4"/>
  <c r="C43" i="4"/>
  <c r="D42" i="4"/>
  <c r="C42" i="4"/>
  <c r="D40" i="4"/>
  <c r="C40" i="4"/>
  <c r="D39" i="4"/>
  <c r="C39" i="4"/>
  <c r="D38" i="4"/>
  <c r="C38" i="4"/>
  <c r="D37" i="4"/>
  <c r="C37" i="4"/>
  <c r="D36" i="4"/>
  <c r="C36" i="4"/>
  <c r="D35" i="4"/>
  <c r="C35" i="4"/>
  <c r="D33" i="4"/>
  <c r="C33" i="4"/>
  <c r="D32" i="4"/>
  <c r="C32" i="4"/>
  <c r="D31" i="4"/>
  <c r="C31" i="4"/>
  <c r="D30" i="4"/>
  <c r="C30" i="4"/>
  <c r="D29" i="4"/>
  <c r="C29" i="4"/>
  <c r="D28" i="4"/>
  <c r="C28" i="4"/>
  <c r="I23" i="4"/>
  <c r="H23" i="4"/>
  <c r="G23" i="4"/>
  <c r="F23" i="4"/>
  <c r="E23" i="4"/>
  <c r="D23" i="4"/>
  <c r="C23" i="4"/>
  <c r="I22" i="4"/>
  <c r="H22" i="4"/>
  <c r="G22" i="4"/>
  <c r="F22" i="4"/>
  <c r="E22" i="4"/>
  <c r="D22" i="4"/>
  <c r="C22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K11" i="4" s="1"/>
  <c r="I10" i="4"/>
  <c r="H10" i="4"/>
  <c r="G10" i="4"/>
  <c r="F10" i="4"/>
  <c r="E10" i="4"/>
  <c r="D10" i="4"/>
  <c r="C10" i="4"/>
  <c r="K10" i="4" s="1"/>
  <c r="I9" i="4"/>
  <c r="H9" i="4"/>
  <c r="G9" i="4"/>
  <c r="F9" i="4"/>
  <c r="E9" i="4"/>
  <c r="D9" i="4"/>
  <c r="C9" i="4"/>
  <c r="I8" i="4"/>
  <c r="H8" i="4"/>
  <c r="G8" i="4"/>
  <c r="F8" i="4"/>
  <c r="E8" i="4"/>
  <c r="D8" i="4"/>
  <c r="J8" i="4" s="1"/>
  <c r="C8" i="4"/>
  <c r="I7" i="4"/>
  <c r="H7" i="4"/>
  <c r="G7" i="4"/>
  <c r="F7" i="4"/>
  <c r="E7" i="4"/>
  <c r="D7" i="4"/>
  <c r="C7" i="4"/>
  <c r="I5" i="4"/>
  <c r="H5" i="4"/>
  <c r="G5" i="4"/>
  <c r="F5" i="4"/>
  <c r="E5" i="4"/>
  <c r="D5" i="4"/>
  <c r="C5" i="4"/>
  <c r="F118" i="4"/>
  <c r="K23" i="4"/>
  <c r="K61" i="4"/>
  <c r="K83" i="4"/>
  <c r="F122" i="4"/>
  <c r="K31" i="4"/>
  <c r="K105" i="4"/>
  <c r="C107" i="4"/>
  <c r="I107" i="4"/>
  <c r="K18" i="4"/>
  <c r="K43" i="4"/>
  <c r="K44" i="4"/>
  <c r="F119" i="4"/>
  <c r="K7" i="4"/>
  <c r="K62" i="4"/>
  <c r="K45" i="4"/>
  <c r="K20" i="4"/>
  <c r="F123" i="4"/>
  <c r="K32" i="4"/>
  <c r="K85" i="4"/>
  <c r="K21" i="4"/>
  <c r="D34" i="4"/>
  <c r="K79" i="4"/>
  <c r="C82" i="4"/>
  <c r="K82" i="4" s="1"/>
  <c r="K36" i="4"/>
  <c r="K52" i="4"/>
  <c r="J84" i="4"/>
  <c r="J79" i="4"/>
  <c r="D82" i="4"/>
  <c r="D88" i="4"/>
  <c r="J88" i="4"/>
  <c r="J87" i="4"/>
  <c r="J85" i="4"/>
  <c r="J83" i="4"/>
  <c r="J86" i="4"/>
  <c r="J80" i="4"/>
  <c r="J81" i="4"/>
  <c r="D145" i="4"/>
  <c r="B109" i="4" s="1"/>
  <c r="I82" i="4"/>
  <c r="K13" i="4"/>
  <c r="D41" i="4"/>
  <c r="J41" i="4" s="1"/>
  <c r="K55" i="4"/>
  <c r="K80" i="4"/>
  <c r="K8" i="4"/>
  <c r="K37" i="4"/>
  <c r="K64" i="4"/>
  <c r="K56" i="4"/>
  <c r="F124" i="4"/>
  <c r="K19" i="4"/>
  <c r="F116" i="4"/>
  <c r="K5" i="4"/>
  <c r="C67" i="4"/>
  <c r="K67" i="4" s="1"/>
  <c r="C89" i="4"/>
  <c r="K14" i="4"/>
  <c r="K29" i="4"/>
  <c r="K38" i="4"/>
  <c r="K49" i="4"/>
  <c r="K57" i="4"/>
  <c r="F125" i="4"/>
  <c r="J62" i="4"/>
  <c r="J47" i="4"/>
  <c r="J18" i="4"/>
  <c r="J45" i="4"/>
  <c r="J37" i="4"/>
  <c r="J33" i="4"/>
  <c r="J63" i="4"/>
  <c r="D67" i="4"/>
  <c r="D69" i="4" s="1"/>
  <c r="J17" i="4"/>
  <c r="J65" i="4"/>
  <c r="J5" i="4"/>
  <c r="J44" i="4"/>
  <c r="D89" i="4"/>
  <c r="J46" i="4"/>
  <c r="J54" i="4"/>
  <c r="J14" i="4"/>
  <c r="J29" i="4"/>
  <c r="J21" i="4"/>
  <c r="J35" i="4"/>
  <c r="J20" i="4"/>
  <c r="J38" i="4"/>
  <c r="J50" i="4"/>
  <c r="J48" i="4"/>
  <c r="J13" i="4"/>
  <c r="J31" i="4"/>
  <c r="J16" i="4"/>
  <c r="J57" i="4"/>
  <c r="J10" i="4"/>
  <c r="J28" i="4"/>
  <c r="J11" i="4"/>
  <c r="J51" i="4"/>
  <c r="J9" i="4"/>
  <c r="J53" i="4"/>
  <c r="J49" i="4"/>
  <c r="J43" i="4"/>
  <c r="J64" i="4"/>
  <c r="J15" i="4"/>
  <c r="J23" i="4"/>
  <c r="J36" i="4"/>
  <c r="J32" i="4"/>
  <c r="J39" i="4"/>
  <c r="J58" i="4"/>
  <c r="J12" i="4"/>
  <c r="J56" i="4"/>
  <c r="J42" i="4"/>
  <c r="J60" i="4"/>
  <c r="J30" i="4"/>
  <c r="J68" i="4"/>
  <c r="J19" i="4"/>
  <c r="J22" i="4"/>
  <c r="J7" i="4"/>
  <c r="J67" i="4"/>
  <c r="J40" i="4"/>
  <c r="J52" i="4"/>
  <c r="J55" i="4"/>
  <c r="K9" i="4"/>
  <c r="F117" i="4"/>
  <c r="F128" i="4"/>
  <c r="K16" i="4"/>
  <c r="K46" i="4"/>
  <c r="D27" i="4"/>
  <c r="E6" i="4"/>
  <c r="E67" i="4"/>
  <c r="K30" i="4"/>
  <c r="K39" i="4"/>
  <c r="K50" i="4"/>
  <c r="K58" i="4"/>
  <c r="K87" i="4"/>
  <c r="E126" i="4"/>
  <c r="E125" i="4"/>
  <c r="E130" i="4"/>
  <c r="E129" i="4"/>
  <c r="E128" i="4"/>
  <c r="E127" i="4"/>
  <c r="F6" i="4"/>
  <c r="F67" i="4"/>
  <c r="F69" i="4"/>
  <c r="K15" i="4"/>
  <c r="E82" i="4"/>
  <c r="E88" i="4"/>
  <c r="K81" i="4"/>
  <c r="E107" i="4"/>
  <c r="F114" i="4"/>
  <c r="F120" i="4"/>
  <c r="F126" i="4"/>
  <c r="G6" i="4"/>
  <c r="G67" i="4"/>
  <c r="G69" i="4"/>
  <c r="K33" i="4"/>
  <c r="K40" i="4"/>
  <c r="K47" i="4"/>
  <c r="K53" i="4"/>
  <c r="K65" i="4"/>
  <c r="F82" i="4"/>
  <c r="F88" i="4" s="1"/>
  <c r="F107" i="4"/>
  <c r="E124" i="4"/>
  <c r="E115" i="4"/>
  <c r="E117" i="4"/>
  <c r="E114" i="4"/>
  <c r="E120" i="4"/>
  <c r="E118" i="4"/>
  <c r="E123" i="4"/>
  <c r="K84" i="4"/>
  <c r="F115" i="4"/>
  <c r="F127" i="4"/>
  <c r="J105" i="4"/>
  <c r="H6" i="4"/>
  <c r="H67" i="4"/>
  <c r="H69" i="4"/>
  <c r="K17" i="4"/>
  <c r="G82" i="4"/>
  <c r="G88" i="4" s="1"/>
  <c r="G107" i="4"/>
  <c r="F121" i="4"/>
  <c r="I6" i="4"/>
  <c r="I67" i="4"/>
  <c r="I69" i="4"/>
  <c r="K12" i="4"/>
  <c r="K28" i="4"/>
  <c r="C27" i="4"/>
  <c r="K35" i="4"/>
  <c r="C34" i="4"/>
  <c r="C41" i="4"/>
  <c r="K42" i="4"/>
  <c r="K48" i="4"/>
  <c r="K54" i="4"/>
  <c r="K60" i="4"/>
  <c r="K68" i="4"/>
  <c r="H82" i="4"/>
  <c r="H88" i="4" s="1"/>
  <c r="H107" i="4"/>
  <c r="J82" i="4"/>
  <c r="B1" i="4"/>
  <c r="B72" i="4"/>
  <c r="I24" i="4" l="1"/>
  <c r="K41" i="4"/>
  <c r="K34" i="4"/>
  <c r="J34" i="4"/>
  <c r="E122" i="4"/>
  <c r="E116" i="4"/>
  <c r="E121" i="4"/>
  <c r="K106" i="4"/>
  <c r="D107" i="4"/>
  <c r="I88" i="4"/>
  <c r="C88" i="4"/>
  <c r="K88" i="4" s="1"/>
  <c r="K59" i="4"/>
  <c r="D26" i="4"/>
  <c r="D25" i="4" s="1"/>
  <c r="C26" i="4"/>
  <c r="C25" i="4" s="1"/>
  <c r="J27" i="4"/>
  <c r="K27" i="4"/>
  <c r="K22" i="4"/>
  <c r="G24" i="4"/>
  <c r="H24" i="4"/>
  <c r="F24" i="4"/>
  <c r="E24" i="4"/>
  <c r="J69" i="4"/>
  <c r="D90" i="4"/>
  <c r="C69" i="4"/>
  <c r="K107" i="4" l="1"/>
  <c r="J107" i="4"/>
  <c r="J26" i="4"/>
  <c r="K26" i="4"/>
  <c r="D6" i="4"/>
  <c r="J25" i="4"/>
  <c r="K25" i="4"/>
  <c r="C6" i="4"/>
  <c r="C90" i="4"/>
  <c r="K69" i="4"/>
  <c r="L12" i="4" l="1"/>
  <c r="L14" i="4"/>
  <c r="L6" i="4"/>
  <c r="L23" i="4"/>
  <c r="J6" i="4"/>
  <c r="L18" i="4"/>
  <c r="L13" i="4"/>
  <c r="L15" i="4"/>
  <c r="L11" i="4"/>
  <c r="L22" i="4"/>
  <c r="L19" i="4"/>
  <c r="L7" i="4"/>
  <c r="L20" i="4"/>
  <c r="L9" i="4"/>
  <c r="L10" i="4"/>
  <c r="L21" i="4"/>
  <c r="L17" i="4"/>
  <c r="L8" i="4"/>
  <c r="D24" i="4"/>
  <c r="L16" i="4"/>
  <c r="C24" i="4"/>
  <c r="K6" i="4"/>
  <c r="K24" i="4" l="1"/>
  <c r="L24" i="4"/>
  <c r="J24" i="4"/>
</calcChain>
</file>

<file path=xl/sharedStrings.xml><?xml version="1.0" encoding="utf-8"?>
<sst xmlns="http://schemas.openxmlformats.org/spreadsheetml/2006/main" count="377" uniqueCount="131">
  <si>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</si>
  <si>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</si>
  <si>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</si>
  <si>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</si>
  <si>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</si>
  <si>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</si>
  <si>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</si>
  <si>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>otrzymane z funduszy celowych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</si>
  <si>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</si>
  <si>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</si>
  <si>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</si>
  <si>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</si>
  <si>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</si>
  <si>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</si>
  <si>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</si>
  <si>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</si>
  <si>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</si>
  <si>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>podatek od środków transportowych</t>
  </si>
  <si>
    <t>dochody z majątku</t>
  </si>
  <si>
    <t xml:space="preserve">pozostałe dochody </t>
  </si>
  <si>
    <t>Struktura</t>
  </si>
  <si>
    <t>Wskaźnik</t>
  </si>
  <si>
    <t>podatek od czynności cywilnoprawnych</t>
  </si>
  <si>
    <t>w tym wymagalne: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</si>
  <si>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</si>
  <si>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</si>
  <si>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</si>
  <si>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</si>
  <si>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</si>
  <si>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</si>
  <si>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</si>
  <si>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część rekompensująca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</si>
  <si>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</si>
  <si>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</si>
  <si>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</si>
  <si>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</si>
  <si>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</si>
  <si>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</si>
  <si>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</si>
  <si>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</si>
  <si>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</si>
  <si>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- część gminna</t>
  </si>
  <si>
    <t>- część powiatowa</t>
  </si>
  <si>
    <t>- pozostałe</t>
  </si>
  <si>
    <t>#</t>
  </si>
  <si>
    <t>Razem dochody własne 
z tego:</t>
  </si>
  <si>
    <t>Dotacje celowe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</si>
  <si>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</si>
  <si>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</si>
  <si>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</si>
  <si>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</si>
  <si>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</si>
  <si>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</si>
  <si>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</si>
  <si>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</si>
  <si>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</si>
  <si>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tytul</t>
  </si>
  <si>
    <t>majątkowe</t>
  </si>
  <si>
    <t>bieżące</t>
  </si>
  <si>
    <t>wydatki majątkowe</t>
  </si>
  <si>
    <t>wydatki bieżące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</si>
  <si>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</si>
  <si>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</si>
  <si>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</si>
  <si>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</si>
  <si>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</si>
  <si>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</si>
  <si>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</si>
  <si>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Dotacje §§ 200 i 620</t>
  </si>
  <si>
    <t>w tym: inwestycyjne § 620</t>
  </si>
  <si>
    <t>Dotacje §§ 205 i 625</t>
  </si>
  <si>
    <t>w tym: inwestycyjne § 625</t>
  </si>
  <si>
    <t>WYDATKI OGÓŁEM UE                    z tego:</t>
  </si>
  <si>
    <t>kredyty, pożyczki, emisja papierów wartościowych w tym:</t>
  </si>
  <si>
    <t>ze sprzedaży papierów wartościowych</t>
  </si>
  <si>
    <t>spłata  udzielonych pożyczek</t>
  </si>
  <si>
    <t>prywatyzacja majątku JST</t>
  </si>
  <si>
    <t>spłaty kredytów i pożyczek, wykup papierów wartościowych w tym:</t>
  </si>
  <si>
    <t>wykup papierów wartościowych</t>
  </si>
  <si>
    <t>wolne środki, o których mowa w art. 217 ust. 2 pkt 6 ustawy o finansach publicznych</t>
  </si>
  <si>
    <t>niewykorzystane środki pieniężne o których mowa w art.217 ust.2 pkt.8 ustawy o finansach publicznych</t>
  </si>
  <si>
    <t>w tym: inwestycyjne</t>
  </si>
  <si>
    <t>na finansowanie lub dofinansowanie zadań inwestycyjnych obiektów zabytkowych oraz prac remontowych i konserwatorskich przy zabytkach</t>
  </si>
  <si>
    <t>nadwyżka z lat ubiegłych, pomniejszona o niewykorzystane środki pieniężne, o których mowa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</si>
  <si>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</si>
  <si>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</si>
  <si>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nadwyżka budżetu jednostki samorządu terytorialnego z lat ubiegłych, pomniejszona o środki określone w art. 217 ust. 2 pkt 8 ustawy o finansach publicznych</t>
  </si>
  <si>
    <t>wynagrodzenia i składki od nich naliczane</t>
  </si>
  <si>
    <t>Dotacje ogółem 
z tego:</t>
  </si>
  <si>
    <t>udzielone pożyczki</t>
  </si>
  <si>
    <t>WYDATKI Z UDZIAŁEM ŚRODKÓW, O KTÓRYCH MOWA W ART. 5 UST. 1 pkt 2</t>
  </si>
  <si>
    <t>na zadania z zakresu adm. Rządowej (*)</t>
  </si>
  <si>
    <t>na zadania własne (*)</t>
  </si>
  <si>
    <t>otrzymane z Funduszu Pomocy lub z innych środków (**)</t>
  </si>
  <si>
    <t>(**) na finansowanie lub dofinansowanie realizacji zadań w zakresie pomocy obywatelom Ukrainy</t>
  </si>
  <si>
    <t xml:space="preserve">(*) nie obejmuje zadań w zakresie pomocy obywatelom Ukrainy </t>
  </si>
  <si>
    <t>na zadania z zakresu adm. rządowej w zakresie pomocy obywatelom Ukrainy</t>
  </si>
  <si>
    <t>na zadania własne w zakresie pomocy obywatelom Ukrainy</t>
  </si>
  <si>
    <t>inne źródła, w tym:</t>
  </si>
  <si>
    <t>środki z lokat dokonanych w latach ubiegłych</t>
  </si>
  <si>
    <t>inne cele, w tym:</t>
  </si>
  <si>
    <t>lokaty na okres wykraczający poza rok budżetowy</t>
  </si>
  <si>
    <t>stan niespłaconych na koniec okresu sprawozdawczego zobowiązań przeznaczonych na cel , o którym mowa w art. 89 ust. 1 pkt 1 ustawy o finansach publicznych</t>
  </si>
  <si>
    <t>FINANSOWANIE DEFICYTU (E1+E2+E3+E4+E5+E6+E7+E8) 
z tego:</t>
  </si>
  <si>
    <t>podatek dochodowy od osób prawnych</t>
  </si>
  <si>
    <t>podatek dochodowy od osób fizycznych</t>
  </si>
  <si>
    <t>Subwencja ogólna, w tym:</t>
  </si>
  <si>
    <t>środki na uzupełnienie dochodów jednostek samorządu terytorialnego</t>
  </si>
  <si>
    <t>dodatni (nadwyżka)</t>
  </si>
  <si>
    <t>ujemny (deficyt)</t>
  </si>
  <si>
    <t>liczba JST</t>
  </si>
  <si>
    <t>kwota</t>
  </si>
  <si>
    <t>podatek od nieruchomości</t>
  </si>
  <si>
    <t>podatek rolny</t>
  </si>
  <si>
    <t>podatek leśny       </t>
  </si>
  <si>
    <t>podatek od dział. gosp. osób fizycznych, opłacany w formie karty podatkowej</t>
  </si>
  <si>
    <t>wpływy z opłaty skarbowej       </t>
  </si>
  <si>
    <t>wpływy z opłaty eksploatacyjnej</t>
  </si>
  <si>
    <t>podatek od spadków i darowizn       </t>
  </si>
  <si>
    <t>wpływy z opłaty targowej</t>
  </si>
  <si>
    <t>opłata miejscowa</t>
  </si>
  <si>
    <t>opłata uzdrowiskowa</t>
  </si>
  <si>
    <t>opłata od posiadania psów</t>
  </si>
  <si>
    <t>opłata reklamowa</t>
  </si>
  <si>
    <t>Wynik budżetu</t>
  </si>
  <si>
    <t>Planowany</t>
  </si>
  <si>
    <t>Wykonany</t>
  </si>
  <si>
    <t>Wynik operacyjny (Db-Wb)</t>
  </si>
  <si>
    <t>Dochody bieżące 
minus  wydatki bieżące (Db-Wb)</t>
  </si>
  <si>
    <t>zrównoważony</t>
  </si>
  <si>
    <t>otrzymane ze środków z Funduszu Przeciwdziałania 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</si>
</sst>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#,##0.0"/>
    <numFmt numFmtId="166" formatCode="dd/mm/yy\ h:mm;@"/>
    <numFmt numFmtId="167" formatCode="#,##0.00_ ;[Red]\-#,##0.00\ "/>
  </numFmts>
  <fonts count="41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4"/>
      <name val="Arial"/>
      <family val="2"/>
      <charset val="238"/>
    </font>
    <font>
      <b/>
      <sz val="7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242424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3" borderId="0" applyNumberFormat="0" applyBorder="0" applyAlignment="0" applyProtection="0"/>
    <xf numFmtId="0" fontId="13" fillId="8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6" borderId="0" applyNumberFormat="0" applyBorder="0" applyAlignment="0" applyProtection="0"/>
    <xf numFmtId="0" fontId="14" fillId="10" borderId="0" applyNumberFormat="0" applyBorder="0" applyAlignment="0" applyProtection="0"/>
    <xf numFmtId="0" fontId="14" fillId="3" borderId="0" applyNumberFormat="0" applyBorder="0" applyAlignment="0" applyProtection="0"/>
    <xf numFmtId="0" fontId="14" fillId="8" borderId="0" applyNumberFormat="0" applyBorder="0" applyAlignment="0" applyProtection="0"/>
    <xf numFmtId="0" fontId="14" fillId="7" borderId="0" applyNumberFormat="0" applyBorder="0" applyAlignment="0" applyProtection="0"/>
    <xf numFmtId="0" fontId="14" fillId="10" borderId="0" applyNumberFormat="0" applyBorder="0" applyAlignment="0" applyProtection="0"/>
    <xf numFmtId="0" fontId="14" fillId="6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1" applyNumberFormat="0" applyAlignment="0" applyProtection="0"/>
    <xf numFmtId="0" fontId="17" fillId="17" borderId="2" applyNumberFormat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1" applyNumberFormat="0" applyAlignment="0" applyProtection="0"/>
    <xf numFmtId="0" fontId="24" fillId="0" borderId="7" applyNumberFormat="0" applyFill="0" applyAlignment="0" applyProtection="0"/>
    <xf numFmtId="0" fontId="25" fillId="8" borderId="0" applyNumberFormat="0" applyBorder="0" applyAlignment="0" applyProtection="0"/>
    <xf numFmtId="0" fontId="38" fillId="0" borderId="0"/>
    <xf numFmtId="0" fontId="38" fillId="0" borderId="0"/>
    <xf numFmtId="0" fontId="1" fillId="4" borderId="8" applyNumberFormat="0" applyFont="0" applyAlignment="0" applyProtection="0"/>
    <xf numFmtId="0" fontId="30" fillId="4" borderId="8" applyNumberFormat="0" applyFont="0" applyAlignment="0" applyProtection="0"/>
    <xf numFmtId="0" fontId="26" fillId="16" borderId="3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43">
    <xf numFmtId="0" fontId="0" fillId="0" borderId="0" xfId="0"/>
    <xf numFmtId="165" fontId="5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0" xfId="0" applyFont="1" applyFill="1" applyBorder="1" applyAlignment="1">
      <alignment horizontal="left" vertical="center" wrapText="1" indent="2"/>
    </xf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0" fontId="6" fillId="19" borderId="1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5" fontId="32" fillId="21" borderId="10" xfId="0" applyNumberFormat="1" applyFont="1" applyFill="1" applyBorder="1" applyAlignment="1">
      <alignment horizontal="center" vertical="center"/>
    </xf>
    <xf numFmtId="4" fontId="33" fillId="0" borderId="10" xfId="0" applyNumberFormat="1" applyFont="1" applyBorder="1" applyAlignment="1">
      <alignment horizontal="center" vertical="center"/>
    </xf>
    <xf numFmtId="165" fontId="33" fillId="0" borderId="10" xfId="0" applyNumberFormat="1" applyFont="1" applyFill="1" applyBorder="1" applyAlignment="1">
      <alignment horizontal="center" vertical="center"/>
    </xf>
    <xf numFmtId="4" fontId="33" fillId="0" borderId="10" xfId="0" applyNumberFormat="1" applyFont="1" applyFill="1" applyBorder="1" applyAlignment="1">
      <alignment horizontal="center" vertical="center"/>
    </xf>
    <xf numFmtId="4" fontId="33" fillId="21" borderId="10" xfId="0" applyNumberFormat="1" applyFont="1" applyFill="1" applyBorder="1" applyAlignment="1">
      <alignment horizontal="center" vertical="center"/>
    </xf>
    <xf numFmtId="165" fontId="33" fillId="0" borderId="0" xfId="0" applyNumberFormat="1" applyFont="1" applyFill="1" applyBorder="1" applyAlignment="1">
      <alignment horizontal="center" vertical="center"/>
    </xf>
    <xf numFmtId="165" fontId="34" fillId="0" borderId="0" xfId="0" applyNumberFormat="1" applyFont="1" applyAlignment="1">
      <alignment horizontal="center" vertical="center"/>
    </xf>
    <xf numFmtId="165" fontId="33" fillId="20" borderId="10" xfId="0" applyNumberFormat="1" applyFont="1" applyFill="1" applyBorder="1" applyAlignment="1">
      <alignment horizontal="center" vertical="center"/>
    </xf>
    <xf numFmtId="4" fontId="33" fillId="22" borderId="10" xfId="0" applyNumberFormat="1" applyFont="1" applyFill="1" applyBorder="1" applyAlignment="1">
      <alignment horizontal="center" vertical="center"/>
    </xf>
    <xf numFmtId="165" fontId="33" fillId="22" borderId="1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165" fontId="34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" fontId="33" fillId="0" borderId="0" xfId="0" applyNumberFormat="1" applyFont="1" applyFill="1" applyBorder="1" applyAlignment="1">
      <alignment horizontal="center" vertical="center"/>
    </xf>
    <xf numFmtId="165" fontId="34" fillId="0" borderId="0" xfId="0" applyNumberFormat="1" applyFont="1" applyFill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165" fontId="35" fillId="21" borderId="10" xfId="0" applyNumberFormat="1" applyFont="1" applyFill="1" applyBorder="1" applyAlignment="1">
      <alignment horizontal="center" vertical="center"/>
    </xf>
    <xf numFmtId="4" fontId="34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3" fontId="32" fillId="0" borderId="0" xfId="0" applyNumberFormat="1" applyFont="1" applyBorder="1" applyAlignment="1">
      <alignment horizontal="center" vertical="center"/>
    </xf>
    <xf numFmtId="165" fontId="34" fillId="0" borderId="0" xfId="0" applyNumberFormat="1" applyFont="1" applyAlignment="1">
      <alignment horizontal="center"/>
    </xf>
    <xf numFmtId="0" fontId="34" fillId="0" borderId="0" xfId="0" applyFont="1" applyAlignment="1">
      <alignment horizontal="center"/>
    </xf>
    <xf numFmtId="0" fontId="34" fillId="0" borderId="0" xfId="0" applyFont="1" applyBorder="1" applyAlignment="1">
      <alignment horizontal="center"/>
    </xf>
    <xf numFmtId="165" fontId="35" fillId="0" borderId="10" xfId="0" applyNumberFormat="1" applyFont="1" applyFill="1" applyBorder="1" applyAlignment="1">
      <alignment horizontal="center" vertical="center"/>
    </xf>
    <xf numFmtId="165" fontId="35" fillId="20" borderId="10" xfId="28" applyNumberFormat="1" applyFont="1" applyFill="1" applyBorder="1" applyAlignment="1">
      <alignment horizontal="center" vertical="center"/>
    </xf>
    <xf numFmtId="165" fontId="35" fillId="22" borderId="10" xfId="28" applyNumberFormat="1" applyFont="1" applyFill="1" applyBorder="1" applyAlignment="1">
      <alignment horizontal="center" vertical="center"/>
    </xf>
    <xf numFmtId="165" fontId="35" fillId="22" borderId="10" xfId="0" applyNumberFormat="1" applyFont="1" applyFill="1" applyBorder="1" applyAlignment="1">
      <alignment horizontal="center" vertical="center"/>
    </xf>
    <xf numFmtId="165" fontId="35" fillId="0" borderId="10" xfId="28" applyNumberFormat="1" applyFont="1" applyFill="1" applyBorder="1" applyAlignment="1">
      <alignment horizontal="center" vertical="center"/>
    </xf>
    <xf numFmtId="165" fontId="35" fillId="21" borderId="10" xfId="28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0" fontId="6" fillId="19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4" fontId="35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4" fontId="32" fillId="0" borderId="0" xfId="0" applyNumberFormat="1" applyFont="1" applyFill="1" applyBorder="1" applyAlignment="1">
      <alignment horizontal="center" vertical="center" wrapText="1"/>
    </xf>
    <xf numFmtId="4" fontId="33" fillId="0" borderId="0" xfId="0" applyNumberFormat="1" applyFont="1" applyFill="1" applyBorder="1" applyAlignment="1">
      <alignment horizontal="center" vertical="center" wrapText="1"/>
    </xf>
    <xf numFmtId="3" fontId="32" fillId="0" borderId="14" xfId="0" applyNumberFormat="1" applyFont="1" applyBorder="1" applyAlignment="1">
      <alignment horizontal="center" vertical="center"/>
    </xf>
    <xf numFmtId="165" fontId="34" fillId="0" borderId="14" xfId="0" applyNumberFormat="1" applyFont="1" applyBorder="1" applyAlignment="1">
      <alignment horizontal="center"/>
    </xf>
    <xf numFmtId="0" fontId="34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" fontId="32" fillId="0" borderId="12" xfId="0" applyNumberFormat="1" applyFont="1" applyFill="1" applyBorder="1" applyAlignment="1">
      <alignment horizontal="center" vertical="center" wrapText="1"/>
    </xf>
    <xf numFmtId="165" fontId="35" fillId="0" borderId="11" xfId="0" applyNumberFormat="1" applyFont="1" applyFill="1" applyBorder="1" applyAlignment="1">
      <alignment horizontal="center" vertical="center"/>
    </xf>
    <xf numFmtId="0" fontId="10" fillId="20" borderId="10" xfId="0" applyFont="1" applyFill="1" applyBorder="1" applyAlignment="1">
      <alignment horizontal="left" vertical="center" wrapText="1"/>
    </xf>
    <xf numFmtId="0" fontId="39" fillId="0" borderId="10" xfId="45" applyFont="1" applyFill="1" applyBorder="1" applyAlignment="1">
      <alignment horizontal="left" vertical="center" wrapText="1"/>
    </xf>
    <xf numFmtId="0" fontId="7" fillId="21" borderId="10" xfId="0" applyFont="1" applyFill="1" applyBorder="1" applyAlignment="1">
      <alignment horizontal="left" vertical="center" wrapText="1"/>
    </xf>
    <xf numFmtId="0" fontId="10" fillId="21" borderId="10" xfId="0" applyFont="1" applyFill="1" applyBorder="1" applyAlignment="1">
      <alignment horizontal="left" vertical="center" wrapText="1"/>
    </xf>
    <xf numFmtId="4" fontId="32" fillId="21" borderId="10" xfId="0" applyNumberFormat="1" applyFont="1" applyFill="1" applyBorder="1" applyAlignment="1">
      <alignment horizontal="right" vertical="center"/>
    </xf>
    <xf numFmtId="4" fontId="33" fillId="0" borderId="10" xfId="0" applyNumberFormat="1" applyFont="1" applyBorder="1" applyAlignment="1">
      <alignment horizontal="right" vertical="center"/>
    </xf>
    <xf numFmtId="4" fontId="33" fillId="0" borderId="10" xfId="0" applyNumberFormat="1" applyFont="1" applyFill="1" applyBorder="1" applyAlignment="1">
      <alignment horizontal="right" vertical="center"/>
    </xf>
    <xf numFmtId="4" fontId="34" fillId="0" borderId="10" xfId="0" applyNumberFormat="1" applyFont="1" applyFill="1" applyBorder="1" applyAlignment="1">
      <alignment horizontal="right" vertical="center"/>
    </xf>
    <xf numFmtId="4" fontId="34" fillId="0" borderId="10" xfId="0" applyNumberFormat="1" applyFont="1" applyBorder="1" applyAlignment="1">
      <alignment horizontal="right" vertical="center"/>
    </xf>
    <xf numFmtId="4" fontId="33" fillId="22" borderId="10" xfId="0" applyNumberFormat="1" applyFont="1" applyFill="1" applyBorder="1" applyAlignment="1">
      <alignment horizontal="right" vertical="center"/>
    </xf>
    <xf numFmtId="4" fontId="33" fillId="21" borderId="10" xfId="0" applyNumberFormat="1" applyFont="1" applyFill="1" applyBorder="1" applyAlignment="1">
      <alignment horizontal="right" vertical="center"/>
    </xf>
    <xf numFmtId="4" fontId="35" fillId="21" borderId="10" xfId="0" applyNumberFormat="1" applyFont="1" applyFill="1" applyBorder="1" applyAlignment="1">
      <alignment horizontal="right" vertical="center"/>
    </xf>
    <xf numFmtId="4" fontId="32" fillId="21" borderId="10" xfId="0" applyNumberFormat="1" applyFont="1" applyFill="1" applyBorder="1" applyAlignment="1">
      <alignment horizontal="right" vertical="center" wrapText="1"/>
    </xf>
    <xf numFmtId="4" fontId="33" fillId="0" borderId="10" xfId="0" applyNumberFormat="1" applyFont="1" applyFill="1" applyBorder="1" applyAlignment="1">
      <alignment horizontal="right" vertical="center" wrapText="1"/>
    </xf>
    <xf numFmtId="4" fontId="33" fillId="0" borderId="13" xfId="0" applyNumberFormat="1" applyFont="1" applyFill="1" applyBorder="1" applyAlignment="1">
      <alignment horizontal="right" vertical="center" wrapText="1"/>
    </xf>
    <xf numFmtId="4" fontId="33" fillId="21" borderId="15" xfId="0" applyNumberFormat="1" applyFont="1" applyFill="1" applyBorder="1" applyAlignment="1">
      <alignment horizontal="right" vertical="center" wrapText="1"/>
    </xf>
    <xf numFmtId="4" fontId="33" fillId="21" borderId="11" xfId="0" applyNumberFormat="1" applyFont="1" applyFill="1" applyBorder="1" applyAlignment="1">
      <alignment horizontal="right" vertical="center" wrapText="1"/>
    </xf>
    <xf numFmtId="4" fontId="33" fillId="0" borderId="16" xfId="0" applyNumberFormat="1" applyFont="1" applyFill="1" applyBorder="1" applyAlignment="1">
      <alignment horizontal="right" vertical="center" wrapText="1"/>
    </xf>
    <xf numFmtId="4" fontId="35" fillId="20" borderId="13" xfId="0" applyNumberFormat="1" applyFont="1" applyFill="1" applyBorder="1" applyAlignment="1">
      <alignment horizontal="right" vertical="center"/>
    </xf>
    <xf numFmtId="4" fontId="34" fillId="0" borderId="13" xfId="0" applyNumberFormat="1" applyFont="1" applyBorder="1" applyAlignment="1">
      <alignment horizontal="right" vertical="center"/>
    </xf>
    <xf numFmtId="4" fontId="34" fillId="0" borderId="13" xfId="0" applyNumberFormat="1" applyFont="1" applyFill="1" applyBorder="1" applyAlignment="1">
      <alignment horizontal="right" vertical="center"/>
    </xf>
    <xf numFmtId="4" fontId="35" fillId="21" borderId="13" xfId="0" applyNumberFormat="1" applyFont="1" applyFill="1" applyBorder="1" applyAlignment="1">
      <alignment horizontal="right" vertical="center"/>
    </xf>
    <xf numFmtId="0" fontId="6" fillId="0" borderId="17" xfId="0" applyFont="1" applyBorder="1" applyAlignment="1">
      <alignment horizontal="center"/>
    </xf>
    <xf numFmtId="166" fontId="6" fillId="0" borderId="11" xfId="0" applyNumberFormat="1" applyFont="1" applyBorder="1" applyAlignment="1">
      <alignment horizontal="center"/>
    </xf>
    <xf numFmtId="0" fontId="31" fillId="0" borderId="0" xfId="0" applyFont="1" applyAlignment="1">
      <alignment vertical="center"/>
    </xf>
    <xf numFmtId="0" fontId="7" fillId="21" borderId="10" xfId="0" applyFont="1" applyFill="1" applyBorder="1" applyAlignment="1">
      <alignment horizontal="left" vertical="center" wrapText="1" indent="1"/>
    </xf>
    <xf numFmtId="0" fontId="4" fillId="0" borderId="10" xfId="0" applyFont="1" applyBorder="1" applyAlignment="1">
      <alignment horizontal="left" vertical="center" wrapText="1" indent="2"/>
    </xf>
    <xf numFmtId="0" fontId="7" fillId="21" borderId="10" xfId="0" applyFont="1" applyFill="1" applyBorder="1" applyAlignment="1">
      <alignment horizontal="left" vertical="center" wrapText="1" indent="2"/>
    </xf>
    <xf numFmtId="0" fontId="7" fillId="20" borderId="10" xfId="0" quotePrefix="1" applyFont="1" applyFill="1" applyBorder="1" applyAlignment="1">
      <alignment horizontal="left" vertical="center" wrapText="1" indent="2"/>
    </xf>
    <xf numFmtId="0" fontId="7" fillId="21" borderId="10" xfId="0" quotePrefix="1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3"/>
    </xf>
    <xf numFmtId="0" fontId="4" fillId="22" borderId="10" xfId="0" applyFont="1" applyFill="1" applyBorder="1" applyAlignment="1">
      <alignment horizontal="left" vertical="center" wrapText="1" indent="3"/>
    </xf>
    <xf numFmtId="0" fontId="4" fillId="0" borderId="10" xfId="0" applyFont="1" applyFill="1" applyBorder="1" applyAlignment="1">
      <alignment horizontal="left" vertical="center" wrapText="1" indent="4"/>
    </xf>
    <xf numFmtId="0" fontId="6" fillId="0" borderId="10" xfId="0" applyFont="1" applyBorder="1" applyAlignment="1">
      <alignment horizontal="left" vertical="top" wrapText="1" indent="1"/>
    </xf>
    <xf numFmtId="0" fontId="6" fillId="0" borderId="10" xfId="0" applyFont="1" applyFill="1" applyBorder="1" applyAlignment="1">
      <alignment horizontal="left" vertical="top" wrapText="1" indent="1"/>
    </xf>
    <xf numFmtId="0" fontId="6" fillId="0" borderId="10" xfId="0" applyFont="1" applyFill="1" applyBorder="1" applyAlignment="1">
      <alignment horizontal="left" vertical="top" wrapText="1" indent="2"/>
    </xf>
    <xf numFmtId="0" fontId="7" fillId="0" borderId="10" xfId="0" applyFont="1" applyFill="1" applyBorder="1" applyAlignment="1">
      <alignment horizontal="right" vertical="center" wrapText="1"/>
    </xf>
    <xf numFmtId="0" fontId="7" fillId="0" borderId="10" xfId="0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right"/>
    </xf>
    <xf numFmtId="0" fontId="39" fillId="0" borderId="10" xfId="45" applyFont="1" applyFill="1" applyBorder="1" applyAlignment="1">
      <alignment horizontal="left" vertical="center" wrapText="1" indent="1"/>
    </xf>
    <xf numFmtId="0" fontId="10" fillId="0" borderId="14" xfId="45" applyFont="1" applyFill="1" applyBorder="1" applyAlignment="1">
      <alignment horizontal="left" vertical="center"/>
    </xf>
    <xf numFmtId="0" fontId="40" fillId="0" borderId="0" xfId="0" applyFont="1"/>
    <xf numFmtId="0" fontId="40" fillId="0" borderId="0" xfId="0" applyFont="1"/>
    <xf numFmtId="0" fontId="6" fillId="0" borderId="10" xfId="0" applyFont="1" applyFill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2"/>
    </xf>
    <xf numFmtId="0" fontId="39" fillId="0" borderId="10" xfId="46" applyFont="1" applyBorder="1" applyAlignment="1">
      <alignment horizontal="left" vertical="center" wrapText="1" indent="1"/>
    </xf>
    <xf numFmtId="0" fontId="7" fillId="0" borderId="0" xfId="0" applyFont="1" applyFill="1" applyBorder="1" applyAlignment="1">
      <alignment horizontal="center" vertical="center" wrapText="1"/>
    </xf>
    <xf numFmtId="4" fontId="32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0" fontId="7" fillId="20" borderId="10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 wrapText="1"/>
    </xf>
    <xf numFmtId="3" fontId="36" fillId="0" borderId="10" xfId="0" applyNumberFormat="1" applyFont="1" applyBorder="1" applyAlignment="1">
      <alignment vertical="center" wrapText="1"/>
    </xf>
    <xf numFmtId="0" fontId="6" fillId="0" borderId="0" xfId="0" applyFont="1"/>
    <xf numFmtId="0" fontId="36" fillId="0" borderId="10" xfId="0" applyFont="1" applyBorder="1" applyAlignment="1">
      <alignment horizontal="right" vertical="center" wrapText="1"/>
    </xf>
    <xf numFmtId="167" fontId="36" fillId="0" borderId="10" xfId="0" applyNumberFormat="1" applyFont="1" applyBorder="1" applyAlignment="1">
      <alignment vertical="center" wrapText="1"/>
    </xf>
    <xf numFmtId="0" fontId="6" fillId="19" borderId="13" xfId="0" applyFont="1" applyFill="1" applyBorder="1" applyAlignment="1">
      <alignment horizontal="center" vertical="center" wrapText="1"/>
    </xf>
    <xf numFmtId="0" fontId="6" fillId="19" borderId="16" xfId="0" applyFont="1" applyFill="1" applyBorder="1" applyAlignment="1">
      <alignment horizontal="center" vertical="center" wrapText="1"/>
    </xf>
    <xf numFmtId="0" fontId="6" fillId="19" borderId="13" xfId="0" applyNumberFormat="1" applyFont="1" applyFill="1" applyBorder="1" applyAlignment="1">
      <alignment horizontal="center" vertical="center" wrapText="1"/>
    </xf>
    <xf numFmtId="0" fontId="6" fillId="19" borderId="16" xfId="0" applyNumberFormat="1" applyFont="1" applyFill="1" applyBorder="1" applyAlignment="1">
      <alignment horizontal="center" vertical="center" wrapText="1"/>
    </xf>
    <xf numFmtId="0" fontId="6" fillId="19" borderId="13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4" fillId="19" borderId="10" xfId="0" applyFont="1" applyFill="1" applyBorder="1" applyAlignment="1">
      <alignment horizontal="center" vertical="center"/>
    </xf>
    <xf numFmtId="166" fontId="6" fillId="0" borderId="13" xfId="0" applyNumberFormat="1" applyFont="1" applyBorder="1" applyAlignment="1">
      <alignment horizontal="center"/>
    </xf>
    <xf numFmtId="166" fontId="6" fillId="0" borderId="16" xfId="0" applyNumberFormat="1" applyFont="1" applyBorder="1" applyAlignment="1">
      <alignment horizontal="center"/>
    </xf>
    <xf numFmtId="4" fontId="32" fillId="0" borderId="0" xfId="0" applyNumberFormat="1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7" xfId="0" applyFont="1" applyFill="1" applyBorder="1" applyAlignment="1">
      <alignment horizontal="center" vertical="center" wrapText="1"/>
    </xf>
    <xf numFmtId="0" fontId="6" fillId="19" borderId="19" xfId="0" applyFont="1" applyFill="1" applyBorder="1" applyAlignment="1">
      <alignment horizontal="center" vertical="center" wrapText="1"/>
    </xf>
    <xf numFmtId="0" fontId="6" fillId="19" borderId="11" xfId="0" applyFont="1" applyFill="1" applyBorder="1" applyAlignment="1">
      <alignment horizontal="center" vertical="center" wrapText="1"/>
    </xf>
    <xf numFmtId="0" fontId="4" fillId="19" borderId="13" xfId="0" applyFont="1" applyFill="1" applyBorder="1" applyAlignment="1">
      <alignment horizontal="center" vertical="center"/>
    </xf>
    <xf numFmtId="0" fontId="4" fillId="19" borderId="18" xfId="0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  <xf numFmtId="0" fontId="6" fillId="19" borderId="16" xfId="0" applyFont="1" applyFill="1" applyBorder="1" applyAlignment="1">
      <alignment horizontal="center" vertical="center"/>
    </xf>
    <xf numFmtId="0" fontId="7" fillId="19" borderId="10" xfId="0" applyFont="1" applyFill="1" applyBorder="1" applyAlignment="1">
      <alignment horizontal="center" vertical="center"/>
    </xf>
    <xf numFmtId="0" fontId="12" fillId="19" borderId="10" xfId="0" applyFont="1" applyFill="1" applyBorder="1" applyAlignment="1">
      <alignment horizontal="center" vertical="center"/>
    </xf>
    <xf numFmtId="0" fontId="7" fillId="21" borderId="10" xfId="0" applyFont="1" applyFill="1" applyBorder="1" applyAlignment="1">
      <alignment horizontal="left" vertical="center" wrapText="1"/>
    </xf>
    <xf numFmtId="0" fontId="37" fillId="0" borderId="10" xfId="0" applyFont="1" applyBorder="1" applyAlignment="1">
      <alignment horizontal="center" vertical="center" wrapText="1"/>
    </xf>
  </cellXfs>
  <cellStyles count="5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ziesiętny 2" xfId="28" xr:uid="{00000000-0005-0000-0000-00001B000000}"/>
    <cellStyle name="Dziesiętny 2 2" xfId="29" xr:uid="{00000000-0005-0000-0000-00001C000000}"/>
    <cellStyle name="Dziesiętny 3" xfId="30" xr:uid="{00000000-0005-0000-0000-00001D000000}"/>
    <cellStyle name="Dziesiętny 3 2" xfId="31" xr:uid="{00000000-0005-0000-0000-00001E000000}"/>
    <cellStyle name="Dziesiętny 3 3" xfId="32" xr:uid="{00000000-0005-0000-0000-00001F000000}"/>
    <cellStyle name="Dziesiętny 3 4" xfId="33" xr:uid="{00000000-0005-0000-0000-000020000000}"/>
    <cellStyle name="Dziesiętny 4" xfId="34" xr:uid="{00000000-0005-0000-0000-000021000000}"/>
    <cellStyle name="Dziesiętny 5" xfId="35" xr:uid="{00000000-0005-0000-0000-000022000000}"/>
    <cellStyle name="Explanatory Text" xfId="36" xr:uid="{00000000-0005-0000-0000-000023000000}"/>
    <cellStyle name="Good" xfId="37" xr:uid="{00000000-0005-0000-0000-000024000000}"/>
    <cellStyle name="Heading 1" xfId="38" xr:uid="{00000000-0005-0000-0000-000025000000}"/>
    <cellStyle name="Heading 2" xfId="39" xr:uid="{00000000-0005-0000-0000-000026000000}"/>
    <cellStyle name="Heading 3" xfId="40" xr:uid="{00000000-0005-0000-0000-000027000000}"/>
    <cellStyle name="Heading 4" xfId="41" xr:uid="{00000000-0005-0000-0000-000028000000}"/>
    <cellStyle name="Input" xfId="42" xr:uid="{00000000-0005-0000-0000-000029000000}"/>
    <cellStyle name="Linked Cell" xfId="43" xr:uid="{00000000-0005-0000-0000-00002A000000}"/>
    <cellStyle name="Neutral" xfId="44" xr:uid="{00000000-0005-0000-0000-00002B000000}"/>
    <cellStyle name="Normalny" xfId="0" builtinId="0"/>
    <cellStyle name="Normalny 2" xfId="45" xr:uid="{00000000-0005-0000-0000-00002D000000}"/>
    <cellStyle name="Normalny 2 2" xfId="46" xr:uid="{00000000-0005-0000-0000-00002E000000}"/>
    <cellStyle name="Note" xfId="47" xr:uid="{00000000-0005-0000-0000-00002F000000}"/>
    <cellStyle name="Note 2" xfId="48" xr:uid="{00000000-0005-0000-0000-000030000000}"/>
    <cellStyle name="Output" xfId="49" xr:uid="{00000000-0005-0000-0000-000031000000}"/>
    <cellStyle name="Title" xfId="50" xr:uid="{00000000-0005-0000-0000-000032000000}"/>
    <cellStyle name="Total" xfId="51" xr:uid="{00000000-0005-0000-0000-000033000000}"/>
    <cellStyle name="Warning Text" xfId="52" xr:uid="{00000000-0005-0000-0000-00003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Z148"/>
  <sheetViews>
    <sheetView tabSelected="1" topLeftCell="B1" zoomScaleNormal="100" workbookViewId="0">
      <selection activeCell="B1" sqref="B1"/>
    </sheetView>
  </sheetViews>
  <sheetFormatPr defaultRowHeight="12.75" outlineLevelRow="1" outlineLevelCol="1" x14ac:dyDescent="0.2"/>
  <cols>
    <col min="1" max="1" width="5.7109375" style="15" hidden="1" customWidth="1"/>
    <col min="2" max="2" width="30.7109375" style="15" customWidth="1"/>
    <col min="3" max="3" width="14.5703125" style="15" customWidth="1"/>
    <col min="4" max="4" width="15" style="15" customWidth="1"/>
    <col min="5" max="5" width="14.5703125" style="15" customWidth="1" outlineLevel="1"/>
    <col min="6" max="6" width="15" style="15" customWidth="1" outlineLevel="1"/>
    <col min="7" max="7" width="13" style="15" customWidth="1" outlineLevel="1"/>
    <col min="8" max="9" width="12.28515625" style="15" customWidth="1" outlineLevel="1"/>
    <col min="10" max="10" width="7.7109375" style="15" bestFit="1" customWidth="1"/>
    <col min="11" max="11" width="7.5703125" style="15" bestFit="1" customWidth="1"/>
    <col min="12" max="12" width="8.42578125" style="15" bestFit="1" customWidth="1"/>
    <col min="13" max="13" width="8.140625" style="15" customWidth="1"/>
    <col min="14" max="16384" width="9.140625" style="15"/>
  </cols>
  <sheetData>
    <row r="1" spans="2:13" ht="27.75" customHeight="1" x14ac:dyDescent="0.2">
      <c r="B1" s="87" t="str">
        <f>CONCATENATE("Informacja z wykonania budżetów miast na prawach powiatu za ",$D$145," ",$C$146," rok    ",$C$148,"")</f>
        <v xml:space="preserve">Informacja z wykonania budżetów miast na prawach powiatu za I Kwartał 2026 rok    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2:13" ht="63" customHeight="1" x14ac:dyDescent="0.2">
      <c r="B2" s="139" t="s">
        <v>0</v>
      </c>
      <c r="C2" s="5" t="s">
        <v>24</v>
      </c>
      <c r="D2" s="5" t="s">
        <v>25</v>
      </c>
      <c r="E2" s="5" t="s">
        <v>26</v>
      </c>
      <c r="F2" s="5" t="s">
        <v>27</v>
      </c>
      <c r="G2" s="5" t="s">
        <v>28</v>
      </c>
      <c r="H2" s="5" t="s">
        <v>29</v>
      </c>
      <c r="I2" s="5" t="s">
        <v>30</v>
      </c>
      <c r="J2" s="6" t="s">
        <v>2</v>
      </c>
      <c r="K2" s="5" t="s">
        <v>16</v>
      </c>
      <c r="L2" s="5" t="s">
        <v>3</v>
      </c>
    </row>
    <row r="3" spans="2:13" x14ac:dyDescent="0.2">
      <c r="B3" s="139"/>
      <c r="C3" s="135" t="s">
        <v>61</v>
      </c>
      <c r="D3" s="136"/>
      <c r="E3" s="136"/>
      <c r="F3" s="136"/>
      <c r="G3" s="136"/>
      <c r="H3" s="136"/>
      <c r="I3" s="137"/>
      <c r="J3" s="125" t="s">
        <v>4</v>
      </c>
      <c r="K3" s="125"/>
      <c r="L3" s="125"/>
    </row>
    <row r="4" spans="2:13" x14ac:dyDescent="0.2">
      <c r="B4" s="6">
        <v>1</v>
      </c>
      <c r="C4" s="8">
        <v>2</v>
      </c>
      <c r="D4" s="8">
        <v>3</v>
      </c>
      <c r="E4" s="8">
        <v>4</v>
      </c>
      <c r="F4" s="8">
        <v>5</v>
      </c>
      <c r="G4" s="8">
        <v>6</v>
      </c>
      <c r="H4" s="8">
        <v>7</v>
      </c>
      <c r="I4" s="8">
        <v>8</v>
      </c>
      <c r="J4" s="8">
        <v>9</v>
      </c>
      <c r="K4" s="8">
        <v>10</v>
      </c>
      <c r="L4" s="8">
        <v>11</v>
      </c>
    </row>
    <row r="5" spans="2:13" ht="12.95" customHeight="1" x14ac:dyDescent="0.2">
      <c r="B5" s="65" t="s">
        <v>5</v>
      </c>
      <c r="C5" s="67">
        <f>156442174753.46</f>
        <v>156442174753.45999</v>
      </c>
      <c r="D5" s="67">
        <f>49672236110.69</f>
        <v>49672236110.690002</v>
      </c>
      <c r="E5" s="67">
        <f>270191365.51</f>
        <v>270191365.50999999</v>
      </c>
      <c r="F5" s="67">
        <f>35363335.76</f>
        <v>35363335.759999998</v>
      </c>
      <c r="G5" s="67">
        <f>6842944.33</f>
        <v>6842944.3300000001</v>
      </c>
      <c r="H5" s="67">
        <f>34271359.82</f>
        <v>34271359.82</v>
      </c>
      <c r="I5" s="67">
        <f>3688840</f>
        <v>3688840</v>
      </c>
      <c r="J5" s="16">
        <f t="shared" ref="J5:J69" si="0">IF($D$5=0,"",100*$D5/$D$5)</f>
        <v>100</v>
      </c>
      <c r="K5" s="16">
        <f t="shared" ref="K5:K51" si="1">IF(C5=0,"",100*D5/C5)</f>
        <v>31.751179749942342</v>
      </c>
      <c r="L5" s="16"/>
    </row>
    <row r="6" spans="2:13" ht="25.5" customHeight="1" x14ac:dyDescent="0.2">
      <c r="B6" s="88" t="s">
        <v>45</v>
      </c>
      <c r="C6" s="67">
        <f>C5-C25-C62</f>
        <v>127491311402.32999</v>
      </c>
      <c r="D6" s="67">
        <f>D5-D25-D62</f>
        <v>43099821657.139999</v>
      </c>
      <c r="E6" s="67">
        <f>E5</f>
        <v>270191365.50999999</v>
      </c>
      <c r="F6" s="67">
        <f>F5</f>
        <v>35363335.759999998</v>
      </c>
      <c r="G6" s="67">
        <f>G5</f>
        <v>6842944.3300000001</v>
      </c>
      <c r="H6" s="67">
        <f>H5</f>
        <v>34271359.82</v>
      </c>
      <c r="I6" s="67">
        <f>I5</f>
        <v>3688840</v>
      </c>
      <c r="J6" s="16">
        <f t="shared" si="0"/>
        <v>86.768434505537499</v>
      </c>
      <c r="K6" s="16">
        <f t="shared" si="1"/>
        <v>33.806085436777714</v>
      </c>
      <c r="L6" s="16">
        <f t="shared" ref="L6:L24" si="2">IF($D$6=0,"",100*$D6/$D$6)</f>
        <v>100</v>
      </c>
    </row>
    <row r="7" spans="2:13" ht="22.5" outlineLevel="1" x14ac:dyDescent="0.2">
      <c r="B7" s="89" t="s">
        <v>105</v>
      </c>
      <c r="C7" s="68">
        <f>72833512940</f>
        <v>72833512940</v>
      </c>
      <c r="D7" s="68">
        <f>28013517785</f>
        <v>28013517785</v>
      </c>
      <c r="E7" s="68">
        <f>0</f>
        <v>0</v>
      </c>
      <c r="F7" s="68">
        <f>0</f>
        <v>0</v>
      </c>
      <c r="G7" s="68">
        <f>0</f>
        <v>0</v>
      </c>
      <c r="H7" s="68">
        <f>0</f>
        <v>0</v>
      </c>
      <c r="I7" s="68">
        <f>0</f>
        <v>0</v>
      </c>
      <c r="J7" s="18">
        <f t="shared" si="0"/>
        <v>56.396731813269803</v>
      </c>
      <c r="K7" s="18">
        <f t="shared" si="1"/>
        <v>38.462400966540557</v>
      </c>
      <c r="L7" s="18">
        <f t="shared" si="2"/>
        <v>64.996829935511414</v>
      </c>
    </row>
    <row r="8" spans="2:13" ht="22.5" outlineLevel="1" x14ac:dyDescent="0.2">
      <c r="B8" s="10" t="s">
        <v>104</v>
      </c>
      <c r="C8" s="69">
        <f>8372032344</f>
        <v>8372032344</v>
      </c>
      <c r="D8" s="69">
        <f>2093007999</f>
        <v>2093007999</v>
      </c>
      <c r="E8" s="69">
        <f>0</f>
        <v>0</v>
      </c>
      <c r="F8" s="69">
        <f>0</f>
        <v>0</v>
      </c>
      <c r="G8" s="69">
        <f>0</f>
        <v>0</v>
      </c>
      <c r="H8" s="69">
        <f>0</f>
        <v>0</v>
      </c>
      <c r="I8" s="69">
        <f>0</f>
        <v>0</v>
      </c>
      <c r="J8" s="18">
        <f t="shared" si="0"/>
        <v>4.2136375627139566</v>
      </c>
      <c r="K8" s="18">
        <f t="shared" si="1"/>
        <v>24.999998960825803</v>
      </c>
      <c r="L8" s="18">
        <f t="shared" si="2"/>
        <v>4.8561871453898888</v>
      </c>
    </row>
    <row r="9" spans="2:13" ht="13.35" customHeight="1" outlineLevel="1" x14ac:dyDescent="0.2">
      <c r="B9" s="10" t="s">
        <v>112</v>
      </c>
      <c r="C9" s="69">
        <f>14443254370.81</f>
        <v>14443254370.809999</v>
      </c>
      <c r="D9" s="69">
        <f>4244390911.56</f>
        <v>4244390911.5599999</v>
      </c>
      <c r="E9" s="69">
        <f>83816201.58</f>
        <v>83816201.579999998</v>
      </c>
      <c r="F9" s="69">
        <f>34831789.84</f>
        <v>34831789.840000004</v>
      </c>
      <c r="G9" s="69">
        <f>5215679.16</f>
        <v>5215679.16</v>
      </c>
      <c r="H9" s="69">
        <f>27898534.17</f>
        <v>27898534.170000002</v>
      </c>
      <c r="I9" s="69">
        <f>3080415</f>
        <v>3080415</v>
      </c>
      <c r="J9" s="18">
        <f t="shared" si="0"/>
        <v>8.5447953301352602</v>
      </c>
      <c r="K9" s="18">
        <f t="shared" si="1"/>
        <v>29.386665931315093</v>
      </c>
      <c r="L9" s="18">
        <f t="shared" si="2"/>
        <v>9.8478154859298961</v>
      </c>
    </row>
    <row r="10" spans="2:13" ht="13.35" customHeight="1" outlineLevel="1" x14ac:dyDescent="0.2">
      <c r="B10" s="10" t="s">
        <v>113</v>
      </c>
      <c r="C10" s="69">
        <f>30515931</f>
        <v>30515931</v>
      </c>
      <c r="D10" s="70">
        <f>13620381.42</f>
        <v>13620381.42</v>
      </c>
      <c r="E10" s="69">
        <f>386042.44</f>
        <v>386042.44</v>
      </c>
      <c r="F10" s="69">
        <f>1996.11</f>
        <v>1996.11</v>
      </c>
      <c r="G10" s="69">
        <f>6263</f>
        <v>6263</v>
      </c>
      <c r="H10" s="69">
        <f>37689.86</f>
        <v>37689.86</v>
      </c>
      <c r="I10" s="69">
        <f>0</f>
        <v>0</v>
      </c>
      <c r="J10" s="18">
        <f t="shared" si="0"/>
        <v>2.7420511912627076E-2</v>
      </c>
      <c r="K10" s="18">
        <f t="shared" si="1"/>
        <v>44.633674850031611</v>
      </c>
      <c r="L10" s="18">
        <f t="shared" si="2"/>
        <v>3.1601943804664495E-2</v>
      </c>
    </row>
    <row r="11" spans="2:13" ht="13.35" customHeight="1" outlineLevel="1" x14ac:dyDescent="0.2">
      <c r="B11" s="10" t="s">
        <v>114</v>
      </c>
      <c r="C11" s="69">
        <f>6791326</f>
        <v>6791326</v>
      </c>
      <c r="D11" s="70">
        <f>2205587.79</f>
        <v>2205587.79</v>
      </c>
      <c r="E11" s="69">
        <f>0</f>
        <v>0</v>
      </c>
      <c r="F11" s="69">
        <f>5896.14</f>
        <v>5896.14</v>
      </c>
      <c r="G11" s="69">
        <f>0</f>
        <v>0</v>
      </c>
      <c r="H11" s="69">
        <f>212.04</f>
        <v>212.04</v>
      </c>
      <c r="I11" s="69">
        <f>0</f>
        <v>0</v>
      </c>
      <c r="J11" s="18">
        <f t="shared" si="0"/>
        <v>4.440282867646729E-3</v>
      </c>
      <c r="K11" s="18">
        <f t="shared" si="1"/>
        <v>32.476541252768605</v>
      </c>
      <c r="L11" s="18">
        <f t="shared" si="2"/>
        <v>5.1173942378358265E-3</v>
      </c>
    </row>
    <row r="12" spans="2:13" ht="13.35" customHeight="1" outlineLevel="1" x14ac:dyDescent="0.2">
      <c r="B12" s="10" t="s">
        <v>17</v>
      </c>
      <c r="C12" s="69">
        <f>412611628</f>
        <v>412611628</v>
      </c>
      <c r="D12" s="70">
        <f>187419173.44</f>
        <v>187419173.44</v>
      </c>
      <c r="E12" s="69">
        <f>185484472.81</f>
        <v>185484472.81</v>
      </c>
      <c r="F12" s="69">
        <f>523653.67</f>
        <v>523653.67</v>
      </c>
      <c r="G12" s="69">
        <f>7410.9</f>
        <v>7410.9</v>
      </c>
      <c r="H12" s="69">
        <f>1019547.09</f>
        <v>1019547.09</v>
      </c>
      <c r="I12" s="69">
        <f>0</f>
        <v>0</v>
      </c>
      <c r="J12" s="18">
        <f t="shared" si="0"/>
        <v>0.37731173008268371</v>
      </c>
      <c r="K12" s="18">
        <f t="shared" si="1"/>
        <v>45.422659159765608</v>
      </c>
      <c r="L12" s="18">
        <f t="shared" si="2"/>
        <v>0.43484906951802149</v>
      </c>
    </row>
    <row r="13" spans="2:13" ht="22.5" outlineLevel="1" x14ac:dyDescent="0.2">
      <c r="B13" s="10" t="s">
        <v>22</v>
      </c>
      <c r="C13" s="69">
        <f>2031394190</f>
        <v>2031394190</v>
      </c>
      <c r="D13" s="70">
        <f>605988919.07</f>
        <v>605988919.07000005</v>
      </c>
      <c r="E13" s="69">
        <f>0</f>
        <v>0</v>
      </c>
      <c r="F13" s="69">
        <f>0</f>
        <v>0</v>
      </c>
      <c r="G13" s="69">
        <f>0</f>
        <v>0</v>
      </c>
      <c r="H13" s="69">
        <f>61879.12</f>
        <v>61879.12</v>
      </c>
      <c r="I13" s="69">
        <f>0</f>
        <v>0</v>
      </c>
      <c r="J13" s="18">
        <f t="shared" si="0"/>
        <v>1.219975113903891</v>
      </c>
      <c r="K13" s="18">
        <f t="shared" si="1"/>
        <v>29.831183039368646</v>
      </c>
      <c r="L13" s="18">
        <f t="shared" si="2"/>
        <v>1.40601259070317</v>
      </c>
    </row>
    <row r="14" spans="2:13" ht="33.75" outlineLevel="1" x14ac:dyDescent="0.2">
      <c r="B14" s="10" t="s">
        <v>115</v>
      </c>
      <c r="C14" s="69">
        <f>88713598</f>
        <v>88713598</v>
      </c>
      <c r="D14" s="70">
        <f>12713620.98</f>
        <v>12713620.98</v>
      </c>
      <c r="E14" s="69">
        <f>0</f>
        <v>0</v>
      </c>
      <c r="F14" s="69">
        <f>0</f>
        <v>0</v>
      </c>
      <c r="G14" s="69">
        <f>0</f>
        <v>0</v>
      </c>
      <c r="H14" s="69">
        <f>69874.86</f>
        <v>69874.86</v>
      </c>
      <c r="I14" s="69">
        <f>0</f>
        <v>0</v>
      </c>
      <c r="J14" s="18">
        <f t="shared" si="0"/>
        <v>2.5595024455248735E-2</v>
      </c>
      <c r="K14" s="18">
        <f t="shared" si="1"/>
        <v>14.331084824222776</v>
      </c>
      <c r="L14" s="18">
        <f t="shared" si="2"/>
        <v>2.9498082570125525E-2</v>
      </c>
    </row>
    <row r="15" spans="2:13" ht="13.35" customHeight="1" outlineLevel="1" x14ac:dyDescent="0.2">
      <c r="B15" s="10" t="s">
        <v>116</v>
      </c>
      <c r="C15" s="69">
        <f>454921894</f>
        <v>454921894</v>
      </c>
      <c r="D15" s="70">
        <f>127079997.73</f>
        <v>127079997.73</v>
      </c>
      <c r="E15" s="69">
        <f>0</f>
        <v>0</v>
      </c>
      <c r="F15" s="69">
        <f>0</f>
        <v>0</v>
      </c>
      <c r="G15" s="69">
        <f>436</f>
        <v>436</v>
      </c>
      <c r="H15" s="69">
        <f>0</f>
        <v>0</v>
      </c>
      <c r="I15" s="69">
        <f>0</f>
        <v>0</v>
      </c>
      <c r="J15" s="18">
        <f t="shared" si="0"/>
        <v>0.25583707857808924</v>
      </c>
      <c r="K15" s="18">
        <f t="shared" si="1"/>
        <v>27.934465104025087</v>
      </c>
      <c r="L15" s="18">
        <f t="shared" si="2"/>
        <v>0.29485040272538504</v>
      </c>
    </row>
    <row r="16" spans="2:13" ht="13.35" customHeight="1" outlineLevel="1" x14ac:dyDescent="0.2">
      <c r="B16" s="10" t="s">
        <v>117</v>
      </c>
      <c r="C16" s="69">
        <f>29719557</f>
        <v>29719557</v>
      </c>
      <c r="D16" s="70">
        <f>17455502.41</f>
        <v>17455502.41</v>
      </c>
      <c r="E16" s="69">
        <f>0</f>
        <v>0</v>
      </c>
      <c r="F16" s="69">
        <f>0</f>
        <v>0</v>
      </c>
      <c r="G16" s="69">
        <f>0</f>
        <v>0</v>
      </c>
      <c r="H16" s="69">
        <f>0</f>
        <v>0</v>
      </c>
      <c r="I16" s="69">
        <f>0</f>
        <v>0</v>
      </c>
      <c r="J16" s="18">
        <f t="shared" si="0"/>
        <v>3.5141366237473222E-2</v>
      </c>
      <c r="K16" s="18">
        <f t="shared" si="1"/>
        <v>58.734059898672108</v>
      </c>
      <c r="L16" s="18">
        <f t="shared" si="2"/>
        <v>4.0500173176721922E-2</v>
      </c>
    </row>
    <row r="17" spans="2:12" ht="13.35" customHeight="1" outlineLevel="1" x14ac:dyDescent="0.2">
      <c r="B17" s="10" t="s">
        <v>118</v>
      </c>
      <c r="C17" s="69">
        <f>347619277.29</f>
        <v>347619277.29000002</v>
      </c>
      <c r="D17" s="70">
        <f>89774122.32</f>
        <v>89774122.319999993</v>
      </c>
      <c r="E17" s="69">
        <f>0</f>
        <v>0</v>
      </c>
      <c r="F17" s="69">
        <f>0</f>
        <v>0</v>
      </c>
      <c r="G17" s="69">
        <f>377260.54</f>
        <v>377260.54</v>
      </c>
      <c r="H17" s="69">
        <f>1785522.45</f>
        <v>1785522.45</v>
      </c>
      <c r="I17" s="69">
        <f>0</f>
        <v>0</v>
      </c>
      <c r="J17" s="18">
        <f t="shared" si="0"/>
        <v>0.18073299965789066</v>
      </c>
      <c r="K17" s="18">
        <f t="shared" si="1"/>
        <v>25.825415385437985</v>
      </c>
      <c r="L17" s="18">
        <f t="shared" si="2"/>
        <v>0.20829348908715925</v>
      </c>
    </row>
    <row r="18" spans="2:12" ht="13.35" customHeight="1" outlineLevel="1" x14ac:dyDescent="0.2">
      <c r="B18" s="10" t="s">
        <v>119</v>
      </c>
      <c r="C18" s="69">
        <f>12451000</f>
        <v>12451000</v>
      </c>
      <c r="D18" s="70">
        <f>1730017.8</f>
        <v>1730017.8</v>
      </c>
      <c r="E18" s="69">
        <f>0</f>
        <v>0</v>
      </c>
      <c r="F18" s="69">
        <f>0</f>
        <v>0</v>
      </c>
      <c r="G18" s="69">
        <f>0</f>
        <v>0</v>
      </c>
      <c r="H18" s="69">
        <f>0</f>
        <v>0</v>
      </c>
      <c r="I18" s="69">
        <f>0</f>
        <v>0</v>
      </c>
      <c r="J18" s="18">
        <f t="shared" si="0"/>
        <v>3.4828667590982108E-3</v>
      </c>
      <c r="K18" s="18">
        <f>IF(C18=0,"",100*D18/C18)</f>
        <v>13.894609268331861</v>
      </c>
      <c r="L18" s="18">
        <f t="shared" si="2"/>
        <v>4.0139790223781635E-3</v>
      </c>
    </row>
    <row r="19" spans="2:12" ht="13.35" customHeight="1" outlineLevel="1" x14ac:dyDescent="0.2">
      <c r="B19" s="10" t="s">
        <v>120</v>
      </c>
      <c r="C19" s="69">
        <f>9750000</f>
        <v>9750000</v>
      </c>
      <c r="D19" s="70">
        <f>1895993.84</f>
        <v>1895993.84</v>
      </c>
      <c r="E19" s="69">
        <f>0</f>
        <v>0</v>
      </c>
      <c r="F19" s="69">
        <f>0</f>
        <v>0</v>
      </c>
      <c r="G19" s="69">
        <f>0</f>
        <v>0</v>
      </c>
      <c r="H19" s="69">
        <f>0</f>
        <v>0</v>
      </c>
      <c r="I19" s="69">
        <f>0</f>
        <v>0</v>
      </c>
      <c r="J19" s="18">
        <f t="shared" si="0"/>
        <v>3.8170092358535104E-3</v>
      </c>
      <c r="K19" s="18">
        <f>IF(C19=0,"",100*D19/C19)</f>
        <v>19.446090666666667</v>
      </c>
      <c r="L19" s="18">
        <f t="shared" si="2"/>
        <v>4.399075836282274E-3</v>
      </c>
    </row>
    <row r="20" spans="2:12" ht="13.35" customHeight="1" outlineLevel="1" x14ac:dyDescent="0.2">
      <c r="B20" s="10" t="s">
        <v>121</v>
      </c>
      <c r="C20" s="69">
        <f>27100000</f>
        <v>27100000</v>
      </c>
      <c r="D20" s="70">
        <f>4088659.13</f>
        <v>4088659.13</v>
      </c>
      <c r="E20" s="69">
        <f>0</f>
        <v>0</v>
      </c>
      <c r="F20" s="69">
        <f>0</f>
        <v>0</v>
      </c>
      <c r="G20" s="69">
        <f>0</f>
        <v>0</v>
      </c>
      <c r="H20" s="69">
        <f>0</f>
        <v>0</v>
      </c>
      <c r="I20" s="69">
        <f>0</f>
        <v>0</v>
      </c>
      <c r="J20" s="18">
        <f t="shared" si="0"/>
        <v>8.2312765644147762E-3</v>
      </c>
      <c r="K20" s="18">
        <f>IF(C20=0,"",100*D20/C20)</f>
        <v>15.087303062730628</v>
      </c>
      <c r="L20" s="18">
        <f t="shared" si="2"/>
        <v>9.4864873514451421E-3</v>
      </c>
    </row>
    <row r="21" spans="2:12" ht="13.35" customHeight="1" outlineLevel="1" x14ac:dyDescent="0.2">
      <c r="B21" s="10" t="s">
        <v>122</v>
      </c>
      <c r="C21" s="69">
        <f>569900</f>
        <v>569900</v>
      </c>
      <c r="D21" s="70">
        <f>266589.32</f>
        <v>266589.32</v>
      </c>
      <c r="E21" s="69">
        <f>63931.68</f>
        <v>63931.68</v>
      </c>
      <c r="F21" s="69">
        <f>0</f>
        <v>0</v>
      </c>
      <c r="G21" s="69">
        <f>0</f>
        <v>0</v>
      </c>
      <c r="H21" s="69">
        <f>0</f>
        <v>0</v>
      </c>
      <c r="I21" s="69">
        <f>0</f>
        <v>0</v>
      </c>
      <c r="J21" s="18">
        <f t="shared" si="0"/>
        <v>5.3669683685254323E-4</v>
      </c>
      <c r="K21" s="18">
        <f>IF(C21=0,"",100*D21/C21)</f>
        <v>46.778262853132127</v>
      </c>
      <c r="L21" s="18">
        <f t="shared" si="2"/>
        <v>6.1853926478100938E-4</v>
      </c>
    </row>
    <row r="22" spans="2:12" ht="13.35" customHeight="1" outlineLevel="1" x14ac:dyDescent="0.2">
      <c r="B22" s="10" t="s">
        <v>123</v>
      </c>
      <c r="C22" s="69">
        <f>1270000</f>
        <v>1270000</v>
      </c>
      <c r="D22" s="70">
        <f>306494.64</f>
        <v>306494.64</v>
      </c>
      <c r="E22" s="69">
        <f>440717</f>
        <v>440717</v>
      </c>
      <c r="F22" s="69">
        <f>0</f>
        <v>0</v>
      </c>
      <c r="G22" s="69">
        <f>0</f>
        <v>0</v>
      </c>
      <c r="H22" s="69">
        <f>0</f>
        <v>0</v>
      </c>
      <c r="I22" s="69">
        <f>0</f>
        <v>0</v>
      </c>
      <c r="J22" s="18">
        <f t="shared" si="0"/>
        <v>6.1703410999457511E-4</v>
      </c>
      <c r="K22" s="18">
        <f>IF(C22=0,"",100*D22/C22)</f>
        <v>24.13343622047244</v>
      </c>
      <c r="L22" s="18">
        <f t="shared" si="2"/>
        <v>7.1112739732004317E-4</v>
      </c>
    </row>
    <row r="23" spans="2:12" ht="13.35" customHeight="1" outlineLevel="1" x14ac:dyDescent="0.2">
      <c r="B23" s="10" t="s">
        <v>18</v>
      </c>
      <c r="C23" s="69">
        <f>5562439729.6</f>
        <v>5562439729.6000004</v>
      </c>
      <c r="D23" s="70">
        <f>1405672413.87</f>
        <v>1405672413.8699999</v>
      </c>
      <c r="E23" s="69">
        <f>0</f>
        <v>0</v>
      </c>
      <c r="F23" s="69">
        <f>0</f>
        <v>0</v>
      </c>
      <c r="G23" s="69">
        <f>0</f>
        <v>0</v>
      </c>
      <c r="H23" s="69">
        <f>0</f>
        <v>0</v>
      </c>
      <c r="I23" s="69">
        <f>0</f>
        <v>0</v>
      </c>
      <c r="J23" s="18">
        <f t="shared" si="0"/>
        <v>2.8298955793687011</v>
      </c>
      <c r="K23" s="18">
        <f t="shared" si="1"/>
        <v>25.270789117765112</v>
      </c>
      <c r="L23" s="18">
        <f t="shared" si="2"/>
        <v>3.2614344092932774</v>
      </c>
    </row>
    <row r="24" spans="2:12" ht="13.35" customHeight="1" outlineLevel="1" x14ac:dyDescent="0.2">
      <c r="B24" s="10" t="s">
        <v>19</v>
      </c>
      <c r="C24" s="69">
        <f t="shared" ref="C24:I24" si="3">C6-SUM(C7:C23)</f>
        <v>22826643716.62999</v>
      </c>
      <c r="D24" s="69">
        <f t="shared" si="3"/>
        <v>6278687487.8199844</v>
      </c>
      <c r="E24" s="69">
        <f t="shared" si="3"/>
        <v>0</v>
      </c>
      <c r="F24" s="69">
        <f t="shared" si="3"/>
        <v>0</v>
      </c>
      <c r="G24" s="69">
        <f t="shared" si="3"/>
        <v>1235894.7299999995</v>
      </c>
      <c r="H24" s="69">
        <f t="shared" si="3"/>
        <v>3398100.2300000004</v>
      </c>
      <c r="I24" s="69">
        <f t="shared" si="3"/>
        <v>608425</v>
      </c>
      <c r="J24" s="18">
        <f t="shared" si="0"/>
        <v>12.640235228847978</v>
      </c>
      <c r="K24" s="18">
        <f t="shared" si="1"/>
        <v>27.505959990279894</v>
      </c>
      <c r="L24" s="18">
        <f t="shared" si="2"/>
        <v>14.567780669180205</v>
      </c>
    </row>
    <row r="25" spans="2:12" ht="26.25" customHeight="1" x14ac:dyDescent="0.2">
      <c r="B25" s="88" t="s">
        <v>88</v>
      </c>
      <c r="C25" s="67">
        <f>C26+C58+C60</f>
        <v>19542456199.130001</v>
      </c>
      <c r="D25" s="67">
        <f>D26+D58+D60</f>
        <v>4232159198.04</v>
      </c>
      <c r="E25" s="20" t="s">
        <v>44</v>
      </c>
      <c r="F25" s="20" t="s">
        <v>44</v>
      </c>
      <c r="G25" s="20" t="s">
        <v>44</v>
      </c>
      <c r="H25" s="20" t="s">
        <v>44</v>
      </c>
      <c r="I25" s="20" t="s">
        <v>44</v>
      </c>
      <c r="J25" s="16">
        <f t="shared" si="0"/>
        <v>8.5201704803645697</v>
      </c>
      <c r="K25" s="16">
        <f t="shared" si="1"/>
        <v>21.656229672032776</v>
      </c>
      <c r="L25" s="21"/>
    </row>
    <row r="26" spans="2:12" ht="25.5" customHeight="1" outlineLevel="1" x14ac:dyDescent="0.2">
      <c r="B26" s="90" t="s">
        <v>46</v>
      </c>
      <c r="C26" s="67">
        <f>C27+C34+C41</f>
        <v>12616588614.5</v>
      </c>
      <c r="D26" s="67">
        <f>D27+D34+D41</f>
        <v>3537788157.5699997</v>
      </c>
      <c r="E26" s="20" t="s">
        <v>44</v>
      </c>
      <c r="F26" s="20" t="s">
        <v>44</v>
      </c>
      <c r="G26" s="20" t="s">
        <v>44</v>
      </c>
      <c r="H26" s="20" t="s">
        <v>44</v>
      </c>
      <c r="I26" s="20" t="s">
        <v>44</v>
      </c>
      <c r="J26" s="16">
        <f t="shared" si="0"/>
        <v>7.1222647389708102</v>
      </c>
      <c r="K26" s="16">
        <f t="shared" si="1"/>
        <v>28.040766531010522</v>
      </c>
      <c r="L26" s="22"/>
    </row>
    <row r="27" spans="2:12" ht="13.5" customHeight="1" outlineLevel="1" x14ac:dyDescent="0.2">
      <c r="B27" s="91" t="s">
        <v>41</v>
      </c>
      <c r="C27" s="67">
        <f>C28+C30+C32</f>
        <v>5596653843.4499998</v>
      </c>
      <c r="D27" s="67">
        <f>D28+D30+D32</f>
        <v>1788393395.0699999</v>
      </c>
      <c r="E27" s="20" t="s">
        <v>44</v>
      </c>
      <c r="F27" s="20" t="s">
        <v>44</v>
      </c>
      <c r="G27" s="20" t="s">
        <v>44</v>
      </c>
      <c r="H27" s="20" t="s">
        <v>44</v>
      </c>
      <c r="I27" s="20" t="s">
        <v>44</v>
      </c>
      <c r="J27" s="16">
        <f t="shared" si="0"/>
        <v>3.600388335819491</v>
      </c>
      <c r="K27" s="16">
        <f t="shared" si="1"/>
        <v>31.954690161211815</v>
      </c>
      <c r="L27" s="22"/>
    </row>
    <row r="28" spans="2:12" ht="22.5" customHeight="1" outlineLevel="1" x14ac:dyDescent="0.2">
      <c r="B28" s="93" t="s">
        <v>91</v>
      </c>
      <c r="C28" s="68">
        <f>4166846817.54</f>
        <v>4166846817.54</v>
      </c>
      <c r="D28" s="71">
        <f>1406317516.48</f>
        <v>1406317516.48</v>
      </c>
      <c r="E28" s="17" t="s">
        <v>44</v>
      </c>
      <c r="F28" s="17" t="s">
        <v>44</v>
      </c>
      <c r="G28" s="17" t="s">
        <v>44</v>
      </c>
      <c r="H28" s="17" t="s">
        <v>44</v>
      </c>
      <c r="I28" s="17" t="s">
        <v>44</v>
      </c>
      <c r="J28" s="18">
        <f t="shared" si="0"/>
        <v>2.8311942980504261</v>
      </c>
      <c r="K28" s="18">
        <f t="shared" si="1"/>
        <v>33.750161166477774</v>
      </c>
      <c r="L28" s="22"/>
    </row>
    <row r="29" spans="2:12" ht="12.95" customHeight="1" outlineLevel="1" x14ac:dyDescent="0.2">
      <c r="B29" s="95" t="s">
        <v>6</v>
      </c>
      <c r="C29" s="69">
        <f>36639607</f>
        <v>36639607</v>
      </c>
      <c r="D29" s="69">
        <f>2145155.5</f>
        <v>2145155.5</v>
      </c>
      <c r="E29" s="19" t="s">
        <v>44</v>
      </c>
      <c r="F29" s="19" t="s">
        <v>44</v>
      </c>
      <c r="G29" s="19" t="s">
        <v>44</v>
      </c>
      <c r="H29" s="19" t="s">
        <v>44</v>
      </c>
      <c r="I29" s="19" t="s">
        <v>44</v>
      </c>
      <c r="J29" s="18">
        <f t="shared" si="0"/>
        <v>4.3186207587267034E-3</v>
      </c>
      <c r="K29" s="18">
        <f t="shared" si="1"/>
        <v>5.8547448393755968</v>
      </c>
      <c r="L29" s="22"/>
    </row>
    <row r="30" spans="2:12" ht="13.5" customHeight="1" outlineLevel="1" x14ac:dyDescent="0.2">
      <c r="B30" s="93" t="s">
        <v>92</v>
      </c>
      <c r="C30" s="69">
        <f>1406937495.91</f>
        <v>1406937495.9100001</v>
      </c>
      <c r="D30" s="70">
        <f>378901194.25</f>
        <v>378901194.25</v>
      </c>
      <c r="E30" s="19" t="s">
        <v>44</v>
      </c>
      <c r="F30" s="19" t="s">
        <v>44</v>
      </c>
      <c r="G30" s="19" t="s">
        <v>44</v>
      </c>
      <c r="H30" s="19" t="s">
        <v>44</v>
      </c>
      <c r="I30" s="19" t="s">
        <v>44</v>
      </c>
      <c r="J30" s="18">
        <f t="shared" si="0"/>
        <v>0.76280277257028173</v>
      </c>
      <c r="K30" s="18">
        <f t="shared" si="1"/>
        <v>26.930918775814458</v>
      </c>
      <c r="L30" s="22"/>
    </row>
    <row r="31" spans="2:12" ht="12.95" customHeight="1" outlineLevel="1" x14ac:dyDescent="0.2">
      <c r="B31" s="95" t="s">
        <v>6</v>
      </c>
      <c r="C31" s="69">
        <f>106581644.67</f>
        <v>106581644.67</v>
      </c>
      <c r="D31" s="69">
        <f>10062090.87</f>
        <v>10062090.869999999</v>
      </c>
      <c r="E31" s="19" t="s">
        <v>44</v>
      </c>
      <c r="F31" s="19" t="s">
        <v>44</v>
      </c>
      <c r="G31" s="19" t="s">
        <v>44</v>
      </c>
      <c r="H31" s="19" t="s">
        <v>44</v>
      </c>
      <c r="I31" s="19" t="s">
        <v>44</v>
      </c>
      <c r="J31" s="18">
        <f t="shared" si="0"/>
        <v>2.0256971817370083E-2</v>
      </c>
      <c r="K31" s="18">
        <f t="shared" si="1"/>
        <v>9.4407352233627329</v>
      </c>
      <c r="L31" s="22"/>
    </row>
    <row r="32" spans="2:12" ht="33.75" outlineLevel="1" x14ac:dyDescent="0.2">
      <c r="B32" s="93" t="s">
        <v>8</v>
      </c>
      <c r="C32" s="69">
        <f>22869530</f>
        <v>22869530</v>
      </c>
      <c r="D32" s="70">
        <f>3174684.34</f>
        <v>3174684.34</v>
      </c>
      <c r="E32" s="19" t="s">
        <v>44</v>
      </c>
      <c r="F32" s="19" t="s">
        <v>44</v>
      </c>
      <c r="G32" s="19" t="s">
        <v>44</v>
      </c>
      <c r="H32" s="19" t="s">
        <v>44</v>
      </c>
      <c r="I32" s="19" t="s">
        <v>44</v>
      </c>
      <c r="J32" s="18">
        <f t="shared" si="0"/>
        <v>6.3912651987832973E-3</v>
      </c>
      <c r="K32" s="18">
        <f t="shared" si="1"/>
        <v>13.881720962345968</v>
      </c>
      <c r="L32" s="22"/>
    </row>
    <row r="33" spans="2:12" ht="12.95" customHeight="1" outlineLevel="1" x14ac:dyDescent="0.2">
      <c r="B33" s="95" t="s">
        <v>6</v>
      </c>
      <c r="C33" s="69">
        <f>12931240</f>
        <v>12931240</v>
      </c>
      <c r="D33" s="69">
        <f>0</f>
        <v>0</v>
      </c>
      <c r="E33" s="19" t="s">
        <v>44</v>
      </c>
      <c r="F33" s="19" t="s">
        <v>44</v>
      </c>
      <c r="G33" s="19" t="s">
        <v>44</v>
      </c>
      <c r="H33" s="19" t="s">
        <v>44</v>
      </c>
      <c r="I33" s="19" t="s">
        <v>44</v>
      </c>
      <c r="J33" s="18">
        <f t="shared" si="0"/>
        <v>0</v>
      </c>
      <c r="K33" s="18">
        <f t="shared" si="1"/>
        <v>0</v>
      </c>
      <c r="L33" s="22"/>
    </row>
    <row r="34" spans="2:12" ht="13.5" customHeight="1" outlineLevel="1" x14ac:dyDescent="0.2">
      <c r="B34" s="92" t="s">
        <v>42</v>
      </c>
      <c r="C34" s="67">
        <f>C35+C37+C39</f>
        <v>3046343170.0999999</v>
      </c>
      <c r="D34" s="67">
        <f>D35+D37+D39</f>
        <v>1075265053.04</v>
      </c>
      <c r="E34" s="20" t="s">
        <v>44</v>
      </c>
      <c r="F34" s="20" t="s">
        <v>44</v>
      </c>
      <c r="G34" s="20" t="s">
        <v>44</v>
      </c>
      <c r="H34" s="20" t="s">
        <v>44</v>
      </c>
      <c r="I34" s="20" t="s">
        <v>44</v>
      </c>
      <c r="J34" s="16">
        <f t="shared" si="0"/>
        <v>2.1647204499589487</v>
      </c>
      <c r="K34" s="16">
        <f t="shared" si="1"/>
        <v>35.296911509963046</v>
      </c>
      <c r="L34" s="22"/>
    </row>
    <row r="35" spans="2:12" ht="22.5" outlineLevel="1" x14ac:dyDescent="0.2">
      <c r="B35" s="93" t="s">
        <v>91</v>
      </c>
      <c r="C35" s="69">
        <f>2536166135.86</f>
        <v>2536166135.8600001</v>
      </c>
      <c r="D35" s="69">
        <f>945647099.73</f>
        <v>945647099.73000002</v>
      </c>
      <c r="E35" s="19" t="s">
        <v>44</v>
      </c>
      <c r="F35" s="19" t="s">
        <v>44</v>
      </c>
      <c r="G35" s="19" t="s">
        <v>44</v>
      </c>
      <c r="H35" s="19" t="s">
        <v>44</v>
      </c>
      <c r="I35" s="19" t="s">
        <v>44</v>
      </c>
      <c r="J35" s="18">
        <f t="shared" si="0"/>
        <v>1.9037739666535498</v>
      </c>
      <c r="K35" s="18">
        <f t="shared" si="1"/>
        <v>37.286480816815107</v>
      </c>
      <c r="L35" s="22"/>
    </row>
    <row r="36" spans="2:12" ht="12.95" customHeight="1" outlineLevel="1" x14ac:dyDescent="0.2">
      <c r="B36" s="95" t="s">
        <v>6</v>
      </c>
      <c r="C36" s="69">
        <f>64250075.94</f>
        <v>64250075.939999998</v>
      </c>
      <c r="D36" s="70">
        <f>5557727.08</f>
        <v>5557727.0800000001</v>
      </c>
      <c r="E36" s="19" t="s">
        <v>44</v>
      </c>
      <c r="F36" s="19" t="s">
        <v>44</v>
      </c>
      <c r="G36" s="19" t="s">
        <v>44</v>
      </c>
      <c r="H36" s="19" t="s">
        <v>44</v>
      </c>
      <c r="I36" s="19" t="s">
        <v>44</v>
      </c>
      <c r="J36" s="18">
        <f t="shared" si="0"/>
        <v>1.1188799851118272E-2</v>
      </c>
      <c r="K36" s="18">
        <f t="shared" si="1"/>
        <v>8.6501486553729361</v>
      </c>
      <c r="L36" s="22"/>
    </row>
    <row r="37" spans="2:12" ht="12.95" customHeight="1" outlineLevel="1" x14ac:dyDescent="0.2">
      <c r="B37" s="93" t="s">
        <v>92</v>
      </c>
      <c r="C37" s="69">
        <f>442632499.58</f>
        <v>442632499.57999998</v>
      </c>
      <c r="D37" s="69">
        <f>121507467.96</f>
        <v>121507467.95999999</v>
      </c>
      <c r="E37" s="19" t="s">
        <v>44</v>
      </c>
      <c r="F37" s="19" t="s">
        <v>44</v>
      </c>
      <c r="G37" s="19" t="s">
        <v>44</v>
      </c>
      <c r="H37" s="19" t="s">
        <v>44</v>
      </c>
      <c r="I37" s="19" t="s">
        <v>44</v>
      </c>
      <c r="J37" s="18">
        <f t="shared" si="0"/>
        <v>0.24461847799489397</v>
      </c>
      <c r="K37" s="18">
        <f t="shared" si="1"/>
        <v>27.451094999868875</v>
      </c>
      <c r="L37" s="22"/>
    </row>
    <row r="38" spans="2:12" ht="12.95" customHeight="1" outlineLevel="1" x14ac:dyDescent="0.2">
      <c r="B38" s="95" t="s">
        <v>6</v>
      </c>
      <c r="C38" s="69">
        <f>74280703.77</f>
        <v>74280703.769999996</v>
      </c>
      <c r="D38" s="70">
        <f>9743584.34</f>
        <v>9743584.3399999999</v>
      </c>
      <c r="E38" s="19" t="s">
        <v>44</v>
      </c>
      <c r="F38" s="19" t="s">
        <v>44</v>
      </c>
      <c r="G38" s="19" t="s">
        <v>44</v>
      </c>
      <c r="H38" s="19" t="s">
        <v>44</v>
      </c>
      <c r="I38" s="19" t="s">
        <v>44</v>
      </c>
      <c r="J38" s="18">
        <f t="shared" si="0"/>
        <v>1.9615755405670322E-2</v>
      </c>
      <c r="K38" s="18">
        <f t="shared" si="1"/>
        <v>13.117248283174149</v>
      </c>
      <c r="L38" s="22"/>
    </row>
    <row r="39" spans="2:12" ht="33.75" outlineLevel="1" x14ac:dyDescent="0.2">
      <c r="B39" s="93" t="s">
        <v>8</v>
      </c>
      <c r="C39" s="69">
        <f>67544534.66</f>
        <v>67544534.659999996</v>
      </c>
      <c r="D39" s="69">
        <f>8110485.35</f>
        <v>8110485.3499999996</v>
      </c>
      <c r="E39" s="19" t="s">
        <v>44</v>
      </c>
      <c r="F39" s="19" t="s">
        <v>44</v>
      </c>
      <c r="G39" s="19" t="s">
        <v>44</v>
      </c>
      <c r="H39" s="19" t="s">
        <v>44</v>
      </c>
      <c r="I39" s="19" t="s">
        <v>44</v>
      </c>
      <c r="J39" s="18">
        <f t="shared" si="0"/>
        <v>1.6328005310504906E-2</v>
      </c>
      <c r="K39" s="18">
        <f t="shared" si="1"/>
        <v>12.007611557065097</v>
      </c>
      <c r="L39" s="22"/>
    </row>
    <row r="40" spans="2:12" ht="12.95" customHeight="1" outlineLevel="1" x14ac:dyDescent="0.2">
      <c r="B40" s="95" t="s">
        <v>6</v>
      </c>
      <c r="C40" s="69">
        <f>0</f>
        <v>0</v>
      </c>
      <c r="D40" s="70">
        <f>0</f>
        <v>0</v>
      </c>
      <c r="E40" s="19" t="s">
        <v>44</v>
      </c>
      <c r="F40" s="19" t="s">
        <v>44</v>
      </c>
      <c r="G40" s="19" t="s">
        <v>44</v>
      </c>
      <c r="H40" s="19" t="s">
        <v>44</v>
      </c>
      <c r="I40" s="19" t="s">
        <v>44</v>
      </c>
      <c r="J40" s="18">
        <f t="shared" si="0"/>
        <v>0</v>
      </c>
      <c r="K40" s="18" t="str">
        <f t="shared" si="1"/>
        <v/>
      </c>
      <c r="L40" s="22"/>
    </row>
    <row r="41" spans="2:12" ht="13.5" customHeight="1" outlineLevel="1" x14ac:dyDescent="0.2">
      <c r="B41" s="91" t="s">
        <v>43</v>
      </c>
      <c r="C41" s="67">
        <f>C42+C44+C46+C50+C52+C48+C54+C56</f>
        <v>3973591600.9499998</v>
      </c>
      <c r="D41" s="67">
        <f>D42+D44+D46+D50+D52+D48+D54+D56</f>
        <v>674129709.46000004</v>
      </c>
      <c r="E41" s="20" t="s">
        <v>44</v>
      </c>
      <c r="F41" s="20" t="s">
        <v>44</v>
      </c>
      <c r="G41" s="20" t="s">
        <v>44</v>
      </c>
      <c r="H41" s="20" t="s">
        <v>44</v>
      </c>
      <c r="I41" s="20" t="s">
        <v>44</v>
      </c>
      <c r="J41" s="16">
        <f t="shared" si="0"/>
        <v>1.3571559531923709</v>
      </c>
      <c r="K41" s="16">
        <f t="shared" si="1"/>
        <v>16.965249002912884</v>
      </c>
      <c r="L41" s="22"/>
    </row>
    <row r="42" spans="2:12" ht="33.75" outlineLevel="1" x14ac:dyDescent="0.2">
      <c r="B42" s="93" t="s">
        <v>96</v>
      </c>
      <c r="C42" s="68">
        <f>0</f>
        <v>0</v>
      </c>
      <c r="D42" s="71">
        <f>0</f>
        <v>0</v>
      </c>
      <c r="E42" s="19" t="s">
        <v>44</v>
      </c>
      <c r="F42" s="19" t="s">
        <v>44</v>
      </c>
      <c r="G42" s="19" t="s">
        <v>44</v>
      </c>
      <c r="H42" s="19" t="s">
        <v>44</v>
      </c>
      <c r="I42" s="19" t="s">
        <v>44</v>
      </c>
      <c r="J42" s="18">
        <f t="shared" si="0"/>
        <v>0</v>
      </c>
      <c r="K42" s="18" t="str">
        <f t="shared" si="1"/>
        <v/>
      </c>
      <c r="L42" s="22"/>
    </row>
    <row r="43" spans="2:12" ht="13.5" customHeight="1" outlineLevel="1" x14ac:dyDescent="0.2">
      <c r="B43" s="95" t="s">
        <v>6</v>
      </c>
      <c r="C43" s="68">
        <f>0</f>
        <v>0</v>
      </c>
      <c r="D43" s="71">
        <f>0</f>
        <v>0</v>
      </c>
      <c r="E43" s="19" t="s">
        <v>44</v>
      </c>
      <c r="F43" s="19" t="s">
        <v>44</v>
      </c>
      <c r="G43" s="19" t="s">
        <v>44</v>
      </c>
      <c r="H43" s="19" t="s">
        <v>44</v>
      </c>
      <c r="I43" s="19" t="s">
        <v>44</v>
      </c>
      <c r="J43" s="18">
        <f t="shared" si="0"/>
        <v>0</v>
      </c>
      <c r="K43" s="18" t="str">
        <f t="shared" si="1"/>
        <v/>
      </c>
      <c r="L43" s="22"/>
    </row>
    <row r="44" spans="2:12" ht="22.5" outlineLevel="1" x14ac:dyDescent="0.2">
      <c r="B44" s="93" t="s">
        <v>97</v>
      </c>
      <c r="C44" s="68">
        <f>0</f>
        <v>0</v>
      </c>
      <c r="D44" s="71">
        <f>0</f>
        <v>0</v>
      </c>
      <c r="E44" s="19" t="s">
        <v>44</v>
      </c>
      <c r="F44" s="19" t="s">
        <v>44</v>
      </c>
      <c r="G44" s="19" t="s">
        <v>44</v>
      </c>
      <c r="H44" s="19" t="s">
        <v>44</v>
      </c>
      <c r="I44" s="19" t="s">
        <v>44</v>
      </c>
      <c r="J44" s="18">
        <f t="shared" si="0"/>
        <v>0</v>
      </c>
      <c r="K44" s="18" t="str">
        <f t="shared" si="1"/>
        <v/>
      </c>
      <c r="L44" s="22"/>
    </row>
    <row r="45" spans="2:12" ht="13.5" customHeight="1" outlineLevel="1" x14ac:dyDescent="0.2">
      <c r="B45" s="95" t="s">
        <v>6</v>
      </c>
      <c r="C45" s="68">
        <f>0</f>
        <v>0</v>
      </c>
      <c r="D45" s="71">
        <f>0</f>
        <v>0</v>
      </c>
      <c r="E45" s="19" t="s">
        <v>44</v>
      </c>
      <c r="F45" s="19" t="s">
        <v>44</v>
      </c>
      <c r="G45" s="19" t="s">
        <v>44</v>
      </c>
      <c r="H45" s="19" t="s">
        <v>44</v>
      </c>
      <c r="I45" s="19" t="s">
        <v>44</v>
      </c>
      <c r="J45" s="18">
        <f t="shared" si="0"/>
        <v>0</v>
      </c>
      <c r="K45" s="18" t="str">
        <f t="shared" si="1"/>
        <v/>
      </c>
      <c r="L45" s="22"/>
    </row>
    <row r="46" spans="2:12" ht="22.5" outlineLevel="1" x14ac:dyDescent="0.2">
      <c r="B46" s="93" t="s">
        <v>9</v>
      </c>
      <c r="C46" s="68">
        <f>987448092.47</f>
        <v>987448092.47000003</v>
      </c>
      <c r="D46" s="71">
        <f>236487369.46</f>
        <v>236487369.46000001</v>
      </c>
      <c r="E46" s="17" t="s">
        <v>44</v>
      </c>
      <c r="F46" s="17" t="s">
        <v>44</v>
      </c>
      <c r="G46" s="17" t="s">
        <v>44</v>
      </c>
      <c r="H46" s="17" t="s">
        <v>44</v>
      </c>
      <c r="I46" s="17" t="s">
        <v>44</v>
      </c>
      <c r="J46" s="18">
        <f t="shared" si="0"/>
        <v>0.47609567834435657</v>
      </c>
      <c r="K46" s="18">
        <f t="shared" si="1"/>
        <v>23.949346934120975</v>
      </c>
      <c r="L46" s="22"/>
    </row>
    <row r="47" spans="2:12" ht="12.95" customHeight="1" outlineLevel="1" x14ac:dyDescent="0.2">
      <c r="B47" s="95" t="s">
        <v>6</v>
      </c>
      <c r="C47" s="69">
        <f>2095992.39</f>
        <v>2095992.39</v>
      </c>
      <c r="D47" s="69">
        <f>152307.48</f>
        <v>152307.48000000001</v>
      </c>
      <c r="E47" s="19" t="s">
        <v>44</v>
      </c>
      <c r="F47" s="19" t="s">
        <v>44</v>
      </c>
      <c r="G47" s="19" t="s">
        <v>44</v>
      </c>
      <c r="H47" s="19" t="s">
        <v>44</v>
      </c>
      <c r="I47" s="19" t="s">
        <v>44</v>
      </c>
      <c r="J47" s="18">
        <f t="shared" si="0"/>
        <v>3.0662497186677247E-4</v>
      </c>
      <c r="K47" s="18">
        <f t="shared" si="1"/>
        <v>7.2666046273192828</v>
      </c>
      <c r="L47" s="22"/>
    </row>
    <row r="48" spans="2:12" ht="33.75" outlineLevel="1" x14ac:dyDescent="0.2">
      <c r="B48" s="93" t="s">
        <v>62</v>
      </c>
      <c r="C48" s="69">
        <f>216294139.09</f>
        <v>216294139.09</v>
      </c>
      <c r="D48" s="69">
        <f>33293135.48</f>
        <v>33293135.48</v>
      </c>
      <c r="E48" s="19" t="s">
        <v>44</v>
      </c>
      <c r="F48" s="19" t="s">
        <v>44</v>
      </c>
      <c r="G48" s="19" t="s">
        <v>44</v>
      </c>
      <c r="H48" s="19" t="s">
        <v>44</v>
      </c>
      <c r="I48" s="19" t="s">
        <v>44</v>
      </c>
      <c r="J48" s="18">
        <f>IF($D$5=0,"",100*$D48/$D$5)</f>
        <v>6.7025642666477328E-2</v>
      </c>
      <c r="K48" s="18">
        <f>IF(C48=0,"",100*D48/C48)</f>
        <v>15.392527795747034</v>
      </c>
      <c r="L48" s="22"/>
    </row>
    <row r="49" spans="2:12" ht="12.95" customHeight="1" outlineLevel="1" x14ac:dyDescent="0.2">
      <c r="B49" s="95" t="s">
        <v>6</v>
      </c>
      <c r="C49" s="69">
        <f>186384973.09</f>
        <v>186384973.09</v>
      </c>
      <c r="D49" s="69">
        <f>28980870.12</f>
        <v>28980870.120000001</v>
      </c>
      <c r="E49" s="19" t="s">
        <v>44</v>
      </c>
      <c r="F49" s="19" t="s">
        <v>44</v>
      </c>
      <c r="G49" s="19" t="s">
        <v>44</v>
      </c>
      <c r="H49" s="19" t="s">
        <v>44</v>
      </c>
      <c r="I49" s="19" t="s">
        <v>44</v>
      </c>
      <c r="J49" s="18">
        <f>IF($D$5=0,"",100*$D49/$D$5)</f>
        <v>5.8344202695885888E-2</v>
      </c>
      <c r="K49" s="18">
        <f>IF(C49=0,"",100*D49/C49)</f>
        <v>15.548930602901105</v>
      </c>
      <c r="L49" s="22"/>
    </row>
    <row r="50" spans="2:12" ht="12.95" customHeight="1" outlineLevel="1" x14ac:dyDescent="0.2">
      <c r="B50" s="93" t="s">
        <v>7</v>
      </c>
      <c r="C50" s="69">
        <f>365574327.12</f>
        <v>365574327.12</v>
      </c>
      <c r="D50" s="70">
        <f>19546813.78</f>
        <v>19546813.780000001</v>
      </c>
      <c r="E50" s="19" t="s">
        <v>44</v>
      </c>
      <c r="F50" s="19" t="s">
        <v>44</v>
      </c>
      <c r="G50" s="19" t="s">
        <v>44</v>
      </c>
      <c r="H50" s="19" t="s">
        <v>44</v>
      </c>
      <c r="I50" s="19" t="s">
        <v>44</v>
      </c>
      <c r="J50" s="18">
        <f t="shared" si="0"/>
        <v>3.935158815166228E-2</v>
      </c>
      <c r="K50" s="18">
        <f t="shared" si="1"/>
        <v>5.3468781393896254</v>
      </c>
      <c r="L50" s="22"/>
    </row>
    <row r="51" spans="2:12" ht="12.95" customHeight="1" outlineLevel="1" x14ac:dyDescent="0.2">
      <c r="B51" s="95" t="s">
        <v>6</v>
      </c>
      <c r="C51" s="69">
        <f>350716545.88</f>
        <v>350716545.88</v>
      </c>
      <c r="D51" s="69">
        <f>12870956.54</f>
        <v>12870956.539999999</v>
      </c>
      <c r="E51" s="19" t="s">
        <v>44</v>
      </c>
      <c r="F51" s="19" t="s">
        <v>44</v>
      </c>
      <c r="G51" s="19" t="s">
        <v>44</v>
      </c>
      <c r="H51" s="19" t="s">
        <v>44</v>
      </c>
      <c r="I51" s="19" t="s">
        <v>44</v>
      </c>
      <c r="J51" s="18">
        <f t="shared" si="0"/>
        <v>2.5911771943019152E-2</v>
      </c>
      <c r="K51" s="18">
        <f t="shared" si="1"/>
        <v>3.6699028577921395</v>
      </c>
      <c r="L51" s="22"/>
    </row>
    <row r="52" spans="2:12" ht="67.5" outlineLevel="1" x14ac:dyDescent="0.2">
      <c r="B52" s="93" t="s">
        <v>82</v>
      </c>
      <c r="C52" s="69">
        <f>3420000</f>
        <v>3420000</v>
      </c>
      <c r="D52" s="69">
        <f>0</f>
        <v>0</v>
      </c>
      <c r="E52" s="19" t="s">
        <v>44</v>
      </c>
      <c r="F52" s="19" t="s">
        <v>44</v>
      </c>
      <c r="G52" s="19" t="s">
        <v>44</v>
      </c>
      <c r="H52" s="19" t="s">
        <v>44</v>
      </c>
      <c r="I52" s="19" t="s">
        <v>44</v>
      </c>
      <c r="J52" s="18">
        <f t="shared" si="0"/>
        <v>0</v>
      </c>
      <c r="K52" s="18">
        <f>IF(C52=0,"",100*D52/C52)</f>
        <v>0</v>
      </c>
      <c r="L52" s="22"/>
    </row>
    <row r="53" spans="2:12" ht="12.95" customHeight="1" outlineLevel="1" x14ac:dyDescent="0.2">
      <c r="B53" s="95" t="s">
        <v>81</v>
      </c>
      <c r="C53" s="69">
        <f>3420000</f>
        <v>3420000</v>
      </c>
      <c r="D53" s="69">
        <f>0</f>
        <v>0</v>
      </c>
      <c r="E53" s="19" t="s">
        <v>44</v>
      </c>
      <c r="F53" s="19" t="s">
        <v>44</v>
      </c>
      <c r="G53" s="19" t="s">
        <v>44</v>
      </c>
      <c r="H53" s="19" t="s">
        <v>44</v>
      </c>
      <c r="I53" s="19" t="s">
        <v>44</v>
      </c>
      <c r="J53" s="18">
        <f t="shared" si="0"/>
        <v>0</v>
      </c>
      <c r="K53" s="18">
        <f>IF(C53=0,"",100*D53/C53)</f>
        <v>0</v>
      </c>
      <c r="L53" s="22"/>
    </row>
    <row r="54" spans="2:12" ht="33.75" outlineLevel="1" x14ac:dyDescent="0.2">
      <c r="B54" s="94" t="s">
        <v>130</v>
      </c>
      <c r="C54" s="72">
        <f>2325913881.23</f>
        <v>2325913881.23</v>
      </c>
      <c r="D54" s="72">
        <f>316466907.06</f>
        <v>316466907.06</v>
      </c>
      <c r="E54" s="24" t="s">
        <v>44</v>
      </c>
      <c r="F54" s="24" t="s">
        <v>44</v>
      </c>
      <c r="G54" s="24" t="s">
        <v>44</v>
      </c>
      <c r="H54" s="24" t="s">
        <v>44</v>
      </c>
      <c r="I54" s="24" t="s">
        <v>44</v>
      </c>
      <c r="J54" s="25">
        <f>IF($D$5=0,"",100*$D54/$D$5)</f>
        <v>0.63711024878119571</v>
      </c>
      <c r="K54" s="25">
        <f>IF(C54=0,"",100*D54/C54)</f>
        <v>13.606131749497303</v>
      </c>
      <c r="L54" s="22"/>
    </row>
    <row r="55" spans="2:12" ht="12.95" customHeight="1" outlineLevel="1" x14ac:dyDescent="0.2">
      <c r="B55" s="95" t="s">
        <v>81</v>
      </c>
      <c r="C55" s="69">
        <f>2324753529.84</f>
        <v>2324753529.8400002</v>
      </c>
      <c r="D55" s="69">
        <f>316464486.78</f>
        <v>316464486.77999997</v>
      </c>
      <c r="E55" s="19" t="s">
        <v>44</v>
      </c>
      <c r="F55" s="19" t="s">
        <v>44</v>
      </c>
      <c r="G55" s="19" t="s">
        <v>44</v>
      </c>
      <c r="H55" s="19" t="s">
        <v>44</v>
      </c>
      <c r="I55" s="19" t="s">
        <v>44</v>
      </c>
      <c r="J55" s="18">
        <f t="shared" si="0"/>
        <v>0.63710537628060071</v>
      </c>
      <c r="K55" s="18">
        <f t="shared" ref="K55:K63" si="4">IF(C55=0,"",100*D55/C55)</f>
        <v>13.612818852318528</v>
      </c>
      <c r="L55" s="22"/>
    </row>
    <row r="56" spans="2:12" ht="22.5" outlineLevel="1" x14ac:dyDescent="0.2">
      <c r="B56" s="94" t="s">
        <v>93</v>
      </c>
      <c r="C56" s="69">
        <f>74941161.04</f>
        <v>74941161.040000007</v>
      </c>
      <c r="D56" s="69">
        <f>68335483.68</f>
        <v>68335483.680000007</v>
      </c>
      <c r="E56" s="19" t="s">
        <v>44</v>
      </c>
      <c r="F56" s="19" t="s">
        <v>44</v>
      </c>
      <c r="G56" s="19" t="s">
        <v>44</v>
      </c>
      <c r="H56" s="19" t="s">
        <v>44</v>
      </c>
      <c r="I56" s="19" t="s">
        <v>44</v>
      </c>
      <c r="J56" s="18">
        <f t="shared" si="0"/>
        <v>0.13757279524867913</v>
      </c>
      <c r="K56" s="18">
        <f t="shared" si="4"/>
        <v>91.185515051636045</v>
      </c>
      <c r="L56" s="22"/>
    </row>
    <row r="57" spans="2:12" ht="12.95" customHeight="1" outlineLevel="1" x14ac:dyDescent="0.2">
      <c r="B57" s="95" t="s">
        <v>6</v>
      </c>
      <c r="C57" s="69">
        <f>0</f>
        <v>0</v>
      </c>
      <c r="D57" s="69">
        <f>0</f>
        <v>0</v>
      </c>
      <c r="E57" s="19" t="s">
        <v>44</v>
      </c>
      <c r="F57" s="19" t="s">
        <v>44</v>
      </c>
      <c r="G57" s="19" t="s">
        <v>44</v>
      </c>
      <c r="H57" s="19" t="s">
        <v>44</v>
      </c>
      <c r="I57" s="19" t="s">
        <v>44</v>
      </c>
      <c r="J57" s="18">
        <f t="shared" si="0"/>
        <v>0</v>
      </c>
      <c r="K57" s="18" t="str">
        <f t="shared" si="4"/>
        <v/>
      </c>
      <c r="L57" s="22"/>
    </row>
    <row r="58" spans="2:12" ht="13.5" customHeight="1" outlineLevel="1" x14ac:dyDescent="0.2">
      <c r="B58" s="90" t="s">
        <v>68</v>
      </c>
      <c r="C58" s="67">
        <f>288594806.86</f>
        <v>288594806.86000001</v>
      </c>
      <c r="D58" s="67">
        <f>18781259.57</f>
        <v>18781259.57</v>
      </c>
      <c r="E58" s="20" t="s">
        <v>44</v>
      </c>
      <c r="F58" s="20" t="s">
        <v>44</v>
      </c>
      <c r="G58" s="20" t="s">
        <v>44</v>
      </c>
      <c r="H58" s="20" t="s">
        <v>44</v>
      </c>
      <c r="I58" s="20" t="s">
        <v>44</v>
      </c>
      <c r="J58" s="16">
        <f t="shared" si="0"/>
        <v>3.7810376662221715E-2</v>
      </c>
      <c r="K58" s="16">
        <f t="shared" si="4"/>
        <v>6.5078300522264634</v>
      </c>
      <c r="L58" s="22"/>
    </row>
    <row r="59" spans="2:12" ht="12.95" customHeight="1" outlineLevel="1" x14ac:dyDescent="0.2">
      <c r="B59" s="93" t="s">
        <v>69</v>
      </c>
      <c r="C59" s="69">
        <f>215954716.91</f>
        <v>215954716.91</v>
      </c>
      <c r="D59" s="69">
        <f>5346521.19</f>
        <v>5346521.1900000004</v>
      </c>
      <c r="E59" s="19" t="s">
        <v>44</v>
      </c>
      <c r="F59" s="19" t="s">
        <v>44</v>
      </c>
      <c r="G59" s="19" t="s">
        <v>44</v>
      </c>
      <c r="H59" s="19" t="s">
        <v>44</v>
      </c>
      <c r="I59" s="19" t="s">
        <v>44</v>
      </c>
      <c r="J59" s="18">
        <f t="shared" si="0"/>
        <v>1.0763600773047081E-2</v>
      </c>
      <c r="K59" s="18">
        <f t="shared" si="4"/>
        <v>2.4757603198026858</v>
      </c>
      <c r="L59" s="22"/>
    </row>
    <row r="60" spans="2:12" ht="13.5" customHeight="1" outlineLevel="1" x14ac:dyDescent="0.2">
      <c r="B60" s="90" t="s">
        <v>70</v>
      </c>
      <c r="C60" s="73">
        <f>6637272777.77</f>
        <v>6637272777.7700005</v>
      </c>
      <c r="D60" s="73">
        <f>675589780.9</f>
        <v>675589780.89999998</v>
      </c>
      <c r="E60" s="20" t="s">
        <v>44</v>
      </c>
      <c r="F60" s="20" t="s">
        <v>44</v>
      </c>
      <c r="G60" s="20" t="s">
        <v>44</v>
      </c>
      <c r="H60" s="20" t="s">
        <v>44</v>
      </c>
      <c r="I60" s="20" t="s">
        <v>44</v>
      </c>
      <c r="J60" s="23">
        <f t="shared" si="0"/>
        <v>1.3600953647315381</v>
      </c>
      <c r="K60" s="23">
        <f t="shared" si="4"/>
        <v>10.178725562745148</v>
      </c>
      <c r="L60" s="22"/>
    </row>
    <row r="61" spans="2:12" ht="12.95" customHeight="1" outlineLevel="1" x14ac:dyDescent="0.2">
      <c r="B61" s="94" t="s">
        <v>71</v>
      </c>
      <c r="C61" s="72">
        <f>5444975475.25</f>
        <v>5444975475.25</v>
      </c>
      <c r="D61" s="72">
        <f>456874091.43</f>
        <v>456874091.43000001</v>
      </c>
      <c r="E61" s="24" t="s">
        <v>44</v>
      </c>
      <c r="F61" s="24" t="s">
        <v>44</v>
      </c>
      <c r="G61" s="24" t="s">
        <v>44</v>
      </c>
      <c r="H61" s="24" t="s">
        <v>44</v>
      </c>
      <c r="I61" s="24" t="s">
        <v>44</v>
      </c>
      <c r="J61" s="25">
        <f t="shared" si="0"/>
        <v>0.91977758040104773</v>
      </c>
      <c r="K61" s="25">
        <f t="shared" si="4"/>
        <v>8.3907465425089569</v>
      </c>
      <c r="L61" s="22"/>
    </row>
    <row r="62" spans="2:12" s="26" customFormat="1" ht="25.5" customHeight="1" x14ac:dyDescent="0.2">
      <c r="B62" s="88" t="s">
        <v>106</v>
      </c>
      <c r="C62" s="67">
        <f>9408407152</f>
        <v>9408407152</v>
      </c>
      <c r="D62" s="67">
        <f>2340255255.51</f>
        <v>2340255255.5100002</v>
      </c>
      <c r="E62" s="20" t="s">
        <v>44</v>
      </c>
      <c r="F62" s="20" t="s">
        <v>44</v>
      </c>
      <c r="G62" s="20" t="s">
        <v>44</v>
      </c>
      <c r="H62" s="20" t="s">
        <v>44</v>
      </c>
      <c r="I62" s="20" t="s">
        <v>44</v>
      </c>
      <c r="J62" s="16">
        <f t="shared" si="0"/>
        <v>4.7113950140979304</v>
      </c>
      <c r="K62" s="16">
        <f t="shared" si="4"/>
        <v>24.874085673604363</v>
      </c>
      <c r="L62" s="27"/>
    </row>
    <row r="63" spans="2:12" outlineLevel="1" x14ac:dyDescent="0.2">
      <c r="B63" s="10" t="s">
        <v>31</v>
      </c>
      <c r="C63" s="69">
        <f>3193822</f>
        <v>3193822</v>
      </c>
      <c r="D63" s="69">
        <f>0</f>
        <v>0</v>
      </c>
      <c r="E63" s="19" t="s">
        <v>44</v>
      </c>
      <c r="F63" s="19" t="s">
        <v>44</v>
      </c>
      <c r="G63" s="19" t="s">
        <v>44</v>
      </c>
      <c r="H63" s="19" t="s">
        <v>44</v>
      </c>
      <c r="I63" s="19" t="s">
        <v>44</v>
      </c>
      <c r="J63" s="18">
        <f t="shared" si="0"/>
        <v>0</v>
      </c>
      <c r="K63" s="18">
        <f t="shared" si="4"/>
        <v>0</v>
      </c>
      <c r="L63" s="22"/>
    </row>
    <row r="64" spans="2:12" ht="22.5" outlineLevel="1" x14ac:dyDescent="0.2">
      <c r="B64" s="10" t="s">
        <v>107</v>
      </c>
      <c r="C64" s="69">
        <f>46080606</f>
        <v>46080606</v>
      </c>
      <c r="D64" s="69">
        <f>0</f>
        <v>0</v>
      </c>
      <c r="E64" s="19" t="s">
        <v>44</v>
      </c>
      <c r="F64" s="19" t="s">
        <v>44</v>
      </c>
      <c r="G64" s="19" t="s">
        <v>44</v>
      </c>
      <c r="H64" s="19" t="s">
        <v>44</v>
      </c>
      <c r="I64" s="19" t="s">
        <v>44</v>
      </c>
      <c r="J64" s="18">
        <f t="shared" si="0"/>
        <v>0</v>
      </c>
      <c r="K64" s="18">
        <f>IF(C64=0,"",100*D64/C64)</f>
        <v>0</v>
      </c>
      <c r="L64" s="22"/>
    </row>
    <row r="65" spans="1:26" s="26" customFormat="1" outlineLevel="1" x14ac:dyDescent="0.2">
      <c r="B65" s="93" t="s">
        <v>6</v>
      </c>
      <c r="C65" s="69">
        <f>38276532</f>
        <v>38276532</v>
      </c>
      <c r="D65" s="69">
        <f>0</f>
        <v>0</v>
      </c>
      <c r="E65" s="19" t="s">
        <v>44</v>
      </c>
      <c r="F65" s="19" t="s">
        <v>44</v>
      </c>
      <c r="G65" s="19" t="s">
        <v>44</v>
      </c>
      <c r="H65" s="19" t="s">
        <v>44</v>
      </c>
      <c r="I65" s="19" t="s">
        <v>44</v>
      </c>
      <c r="J65" s="18">
        <f t="shared" si="0"/>
        <v>0</v>
      </c>
      <c r="K65" s="18">
        <f>IF(C65=0,"",100*D65/C65)</f>
        <v>0</v>
      </c>
      <c r="L65" s="27"/>
    </row>
    <row r="66" spans="1:26" ht="11.25" customHeight="1" x14ac:dyDescent="0.2">
      <c r="B66" s="28"/>
      <c r="C66" s="29"/>
      <c r="D66" s="29"/>
      <c r="E66" s="29"/>
      <c r="F66" s="29"/>
      <c r="G66" s="29"/>
      <c r="H66" s="29"/>
      <c r="I66" s="29"/>
      <c r="J66" s="21"/>
      <c r="K66" s="21"/>
      <c r="L66" s="22"/>
    </row>
    <row r="67" spans="1:26" ht="13.5" customHeight="1" x14ac:dyDescent="0.2">
      <c r="B67" s="65" t="s">
        <v>5</v>
      </c>
      <c r="C67" s="20">
        <f t="shared" ref="C67:I67" si="5">+C5</f>
        <v>156442174753.45999</v>
      </c>
      <c r="D67" s="20">
        <f t="shared" si="5"/>
        <v>49672236110.690002</v>
      </c>
      <c r="E67" s="20">
        <f t="shared" si="5"/>
        <v>270191365.50999999</v>
      </c>
      <c r="F67" s="20">
        <f t="shared" si="5"/>
        <v>35363335.759999998</v>
      </c>
      <c r="G67" s="20">
        <f t="shared" si="5"/>
        <v>6842944.3300000001</v>
      </c>
      <c r="H67" s="20">
        <f t="shared" si="5"/>
        <v>34271359.82</v>
      </c>
      <c r="I67" s="20">
        <f t="shared" si="5"/>
        <v>3688840</v>
      </c>
      <c r="J67" s="16">
        <f t="shared" si="0"/>
        <v>100</v>
      </c>
      <c r="K67" s="16">
        <f>IF(C67=0,"",100*D67/C67)</f>
        <v>31.751179749942342</v>
      </c>
      <c r="L67" s="22"/>
    </row>
    <row r="68" spans="1:26" x14ac:dyDescent="0.2">
      <c r="B68" s="99" t="s">
        <v>57</v>
      </c>
      <c r="C68" s="19">
        <f>13029153644.73</f>
        <v>13029153644.73</v>
      </c>
      <c r="D68" s="19">
        <f>1721670992.85</f>
        <v>1721670992.8499999</v>
      </c>
      <c r="E68" s="19">
        <f>0</f>
        <v>0</v>
      </c>
      <c r="F68" s="19">
        <f>0</f>
        <v>0</v>
      </c>
      <c r="G68" s="19">
        <f>0</f>
        <v>0</v>
      </c>
      <c r="H68" s="19">
        <f>0</f>
        <v>0</v>
      </c>
      <c r="I68" s="19">
        <f>0</f>
        <v>0</v>
      </c>
      <c r="J68" s="18">
        <f t="shared" si="0"/>
        <v>3.4660629914333128</v>
      </c>
      <c r="K68" s="18">
        <f>IF(C68=0,"",100*D68/C68)</f>
        <v>13.213989486925556</v>
      </c>
      <c r="L68" s="22"/>
    </row>
    <row r="69" spans="1:26" s="26" customFormat="1" x14ac:dyDescent="0.2">
      <c r="A69" s="9"/>
      <c r="B69" s="99" t="s">
        <v>58</v>
      </c>
      <c r="C69" s="19">
        <f>C67-C68</f>
        <v>143413021108.72998</v>
      </c>
      <c r="D69" s="19">
        <f t="shared" ref="D69:I69" si="6">D67-D68</f>
        <v>47950565117.840004</v>
      </c>
      <c r="E69" s="19">
        <f t="shared" si="6"/>
        <v>270191365.50999999</v>
      </c>
      <c r="F69" s="19">
        <f t="shared" si="6"/>
        <v>35363335.759999998</v>
      </c>
      <c r="G69" s="19">
        <f t="shared" si="6"/>
        <v>6842944.3300000001</v>
      </c>
      <c r="H69" s="19">
        <f t="shared" si="6"/>
        <v>34271359.82</v>
      </c>
      <c r="I69" s="19">
        <f t="shared" si="6"/>
        <v>3688840</v>
      </c>
      <c r="J69" s="18">
        <f t="shared" si="0"/>
        <v>96.533937008566681</v>
      </c>
      <c r="K69" s="18">
        <f>IF(C69=0,"",100*D69/C69)</f>
        <v>33.435293913434691</v>
      </c>
      <c r="L69" s="30"/>
    </row>
    <row r="70" spans="1:26" s="26" customFormat="1" x14ac:dyDescent="0.2">
      <c r="A70" s="9"/>
      <c r="B70" s="105" t="s">
        <v>95</v>
      </c>
      <c r="C70" s="29"/>
      <c r="D70" s="29"/>
      <c r="E70" s="29"/>
      <c r="F70" s="29"/>
      <c r="G70" s="29"/>
      <c r="H70" s="29"/>
      <c r="I70" s="29"/>
      <c r="J70" s="21"/>
      <c r="K70" s="21"/>
      <c r="L70" s="30"/>
    </row>
    <row r="71" spans="1:26" s="26" customFormat="1" x14ac:dyDescent="0.2">
      <c r="A71" s="9"/>
      <c r="B71" s="104" t="s">
        <v>94</v>
      </c>
      <c r="C71" s="29"/>
      <c r="D71" s="29"/>
      <c r="E71" s="29"/>
      <c r="F71" s="29"/>
      <c r="G71" s="29"/>
      <c r="H71" s="29"/>
      <c r="I71" s="29"/>
      <c r="J71" s="21"/>
      <c r="K71" s="21"/>
      <c r="L71" s="30"/>
    </row>
    <row r="72" spans="1:26" ht="18" x14ac:dyDescent="0.2">
      <c r="B72" s="87" t="str">
        <f>CONCATENATE("Informacja z wykonania budżetów miast na prawach powiatu za ",$D$145," ",$C$146," rok    ",$C$148,"")</f>
        <v xml:space="preserve">Informacja z wykonania budżetów miast na prawach powiatu za I Kwartał 2026 rok    </v>
      </c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</row>
    <row r="73" spans="1:26" s="26" customFormat="1" x14ac:dyDescent="0.2">
      <c r="B73" s="31"/>
      <c r="C73" s="32"/>
      <c r="D73" s="32"/>
      <c r="E73" s="32"/>
      <c r="F73" s="33"/>
      <c r="G73" s="33"/>
      <c r="H73" s="33"/>
      <c r="I73" s="33"/>
      <c r="J73" s="33"/>
      <c r="K73" s="1"/>
      <c r="L73" s="1"/>
      <c r="M73" s="34"/>
    </row>
    <row r="74" spans="1:26" ht="29.25" customHeight="1" x14ac:dyDescent="0.2">
      <c r="B74" s="140" t="s">
        <v>0</v>
      </c>
      <c r="C74" s="131" t="s">
        <v>37</v>
      </c>
      <c r="D74" s="131" t="s">
        <v>39</v>
      </c>
      <c r="E74" s="131" t="s">
        <v>38</v>
      </c>
      <c r="F74" s="131" t="s">
        <v>10</v>
      </c>
      <c r="G74" s="131"/>
      <c r="H74" s="131"/>
      <c r="I74" s="132" t="s">
        <v>67</v>
      </c>
      <c r="J74" s="131" t="s">
        <v>2</v>
      </c>
      <c r="K74" s="129" t="s">
        <v>16</v>
      </c>
      <c r="M74" s="35"/>
      <c r="N74" s="52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ht="18" customHeight="1" x14ac:dyDescent="0.2">
      <c r="B75" s="140"/>
      <c r="C75" s="131"/>
      <c r="D75" s="131"/>
      <c r="E75" s="130"/>
      <c r="F75" s="119" t="s">
        <v>40</v>
      </c>
      <c r="G75" s="138" t="s">
        <v>23</v>
      </c>
      <c r="H75" s="130"/>
      <c r="I75" s="133"/>
      <c r="J75" s="131"/>
      <c r="K75" s="129"/>
      <c r="L75" s="2"/>
      <c r="M75" s="3"/>
      <c r="N75" s="52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ht="58.5" customHeight="1" x14ac:dyDescent="0.2">
      <c r="B76" s="140"/>
      <c r="C76" s="131"/>
      <c r="D76" s="131"/>
      <c r="E76" s="130"/>
      <c r="F76" s="130"/>
      <c r="G76" s="7" t="s">
        <v>35</v>
      </c>
      <c r="H76" s="7" t="s">
        <v>36</v>
      </c>
      <c r="I76" s="134"/>
      <c r="J76" s="131"/>
      <c r="K76" s="129"/>
      <c r="L76" s="2"/>
      <c r="M76" s="35"/>
      <c r="N76" s="52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ht="13.5" customHeight="1" x14ac:dyDescent="0.2">
      <c r="B77" s="140"/>
      <c r="C77" s="135" t="s">
        <v>61</v>
      </c>
      <c r="D77" s="136"/>
      <c r="E77" s="136"/>
      <c r="F77" s="136"/>
      <c r="G77" s="136"/>
      <c r="H77" s="136"/>
      <c r="I77" s="137"/>
      <c r="J77" s="125" t="s">
        <v>4</v>
      </c>
      <c r="K77" s="12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ht="11.25" customHeight="1" x14ac:dyDescent="0.2">
      <c r="B78" s="6">
        <v>1</v>
      </c>
      <c r="C78" s="8">
        <v>2</v>
      </c>
      <c r="D78" s="8">
        <v>3</v>
      </c>
      <c r="E78" s="8">
        <v>4</v>
      </c>
      <c r="F78" s="6">
        <v>5</v>
      </c>
      <c r="G78" s="6">
        <v>6</v>
      </c>
      <c r="H78" s="8">
        <v>7</v>
      </c>
      <c r="I78" s="8">
        <v>8</v>
      </c>
      <c r="J78" s="6">
        <v>9</v>
      </c>
      <c r="K78" s="8">
        <v>10</v>
      </c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ht="25.5" customHeight="1" x14ac:dyDescent="0.2">
      <c r="B79" s="65" t="s">
        <v>47</v>
      </c>
      <c r="C79" s="74">
        <f>172242736584.24</f>
        <v>172242736584.23999</v>
      </c>
      <c r="D79" s="74">
        <f>36813998428.55</f>
        <v>36813998428.550003</v>
      </c>
      <c r="E79" s="74">
        <f>123452301099.64</f>
        <v>123452301099.64</v>
      </c>
      <c r="F79" s="74">
        <f>5752559110.9</f>
        <v>5752559110.8999996</v>
      </c>
      <c r="G79" s="74">
        <f>3303893.73</f>
        <v>3303893.73</v>
      </c>
      <c r="H79" s="74">
        <f>344561.33</f>
        <v>344561.33</v>
      </c>
      <c r="I79" s="74">
        <f>0</f>
        <v>0</v>
      </c>
      <c r="J79" s="43">
        <f>IF($D$79=0,"",100*$D79/$D$79)</f>
        <v>100</v>
      </c>
      <c r="K79" s="43">
        <f>IF(C79=0,"",100*D79/C79)</f>
        <v>21.373324157878272</v>
      </c>
      <c r="N79" s="53"/>
      <c r="O79" s="54"/>
    </row>
    <row r="80" spans="1:26" x14ac:dyDescent="0.2">
      <c r="B80" s="88" t="s">
        <v>12</v>
      </c>
      <c r="C80" s="75">
        <f>31328632792.52</f>
        <v>31328632792.52</v>
      </c>
      <c r="D80" s="75">
        <f>2648747449.11</f>
        <v>2648747449.1100001</v>
      </c>
      <c r="E80" s="75">
        <f>15278182264.79</f>
        <v>15278182264.790001</v>
      </c>
      <c r="F80" s="75">
        <f>571649717.7</f>
        <v>571649717.70000005</v>
      </c>
      <c r="G80" s="75">
        <f>2299712.33</f>
        <v>2299712.33</v>
      </c>
      <c r="H80" s="75">
        <f>172356.81</f>
        <v>172356.81</v>
      </c>
      <c r="I80" s="75">
        <f>0</f>
        <v>0</v>
      </c>
      <c r="J80" s="43">
        <f t="shared" ref="J80:J88" si="7">IF($D$79=0,"",100*$D80/$D$79)</f>
        <v>7.1949463850029467</v>
      </c>
      <c r="K80" s="43">
        <f t="shared" ref="K80:K88" si="8">IF(C80=0,"",100*D80/C80)</f>
        <v>8.4547176592475264</v>
      </c>
      <c r="N80" s="55"/>
      <c r="O80" s="54"/>
    </row>
    <row r="81" spans="2:15" ht="12.95" customHeight="1" outlineLevel="1" x14ac:dyDescent="0.2">
      <c r="B81" s="10" t="s">
        <v>11</v>
      </c>
      <c r="C81" s="69">
        <f>28952866128.11</f>
        <v>28952866128.110001</v>
      </c>
      <c r="D81" s="69">
        <f>2051089597.08</f>
        <v>2051089597.0799999</v>
      </c>
      <c r="E81" s="69">
        <f>14255713417.25</f>
        <v>14255713417.25</v>
      </c>
      <c r="F81" s="69">
        <f>534250590.22</f>
        <v>534250590.22000003</v>
      </c>
      <c r="G81" s="69">
        <f>2299712.33</f>
        <v>2299712.33</v>
      </c>
      <c r="H81" s="69">
        <f>172356.81</f>
        <v>172356.81</v>
      </c>
      <c r="I81" s="69">
        <f>0</f>
        <v>0</v>
      </c>
      <c r="J81" s="43">
        <f t="shared" si="7"/>
        <v>5.5714936834716067</v>
      </c>
      <c r="K81" s="43">
        <f t="shared" si="8"/>
        <v>7.0842368006137431</v>
      </c>
      <c r="N81" s="29"/>
      <c r="O81" s="54"/>
    </row>
    <row r="82" spans="2:15" ht="25.5" customHeight="1" x14ac:dyDescent="0.2">
      <c r="B82" s="88" t="s">
        <v>48</v>
      </c>
      <c r="C82" s="75">
        <f t="shared" ref="C82:I82" si="9">C79-C80</f>
        <v>140914103791.72</v>
      </c>
      <c r="D82" s="75">
        <f t="shared" si="9"/>
        <v>34165250979.440002</v>
      </c>
      <c r="E82" s="75">
        <f>E79-E80</f>
        <v>108174118834.85001</v>
      </c>
      <c r="F82" s="75">
        <f t="shared" si="9"/>
        <v>5180909393.1999998</v>
      </c>
      <c r="G82" s="75">
        <f t="shared" si="9"/>
        <v>1004181.3999999999</v>
      </c>
      <c r="H82" s="75">
        <f t="shared" si="9"/>
        <v>172204.52000000002</v>
      </c>
      <c r="I82" s="75">
        <f t="shared" si="9"/>
        <v>0</v>
      </c>
      <c r="J82" s="43">
        <f t="shared" si="7"/>
        <v>92.80505361499705</v>
      </c>
      <c r="K82" s="43">
        <f t="shared" si="8"/>
        <v>24.245444607828901</v>
      </c>
      <c r="N82" s="55"/>
      <c r="O82" s="54"/>
    </row>
    <row r="83" spans="2:15" ht="24" customHeight="1" outlineLevel="1" x14ac:dyDescent="0.2">
      <c r="B83" s="10" t="s">
        <v>87</v>
      </c>
      <c r="C83" s="69">
        <f>60272076165.8899</f>
        <v>60272076165.8899</v>
      </c>
      <c r="D83" s="69">
        <f>16901201735.8</f>
        <v>16901201735.799999</v>
      </c>
      <c r="E83" s="69">
        <f>53442852489.76</f>
        <v>53442852489.760002</v>
      </c>
      <c r="F83" s="69">
        <f>2313319178.7</f>
        <v>2313319178.6999998</v>
      </c>
      <c r="G83" s="69">
        <f>12946.86</f>
        <v>12946.86</v>
      </c>
      <c r="H83" s="69">
        <f>498.27</f>
        <v>498.27</v>
      </c>
      <c r="I83" s="69">
        <f>0</f>
        <v>0</v>
      </c>
      <c r="J83" s="43">
        <f t="shared" si="7"/>
        <v>45.909714937926367</v>
      </c>
      <c r="K83" s="43">
        <f t="shared" si="8"/>
        <v>28.041512439826967</v>
      </c>
      <c r="N83" s="29"/>
      <c r="O83" s="54"/>
    </row>
    <row r="84" spans="2:15" ht="12.95" customHeight="1" outlineLevel="1" x14ac:dyDescent="0.2">
      <c r="B84" s="10" t="s">
        <v>34</v>
      </c>
      <c r="C84" s="76">
        <f>20742953045.96</f>
        <v>20742953045.959999</v>
      </c>
      <c r="D84" s="76">
        <f>5723053876.08</f>
        <v>5723053876.0799999</v>
      </c>
      <c r="E84" s="76">
        <f>13969182802.71</f>
        <v>13969182802.709999</v>
      </c>
      <c r="F84" s="76">
        <f>570469011.81</f>
        <v>570469011.80999994</v>
      </c>
      <c r="G84" s="76">
        <f>0</f>
        <v>0</v>
      </c>
      <c r="H84" s="76">
        <f>0</f>
        <v>0</v>
      </c>
      <c r="I84" s="76">
        <f>0</f>
        <v>0</v>
      </c>
      <c r="J84" s="43">
        <f t="shared" si="7"/>
        <v>15.545863313890012</v>
      </c>
      <c r="K84" s="43">
        <f t="shared" si="8"/>
        <v>27.590352556839299</v>
      </c>
      <c r="N84" s="56"/>
      <c r="O84" s="54"/>
    </row>
    <row r="85" spans="2:15" ht="12.95" customHeight="1" outlineLevel="1" x14ac:dyDescent="0.2">
      <c r="B85" s="10" t="s">
        <v>33</v>
      </c>
      <c r="C85" s="69">
        <f>3337219282.47</f>
        <v>3337219282.4699998</v>
      </c>
      <c r="D85" s="69">
        <f>504783843.58</f>
        <v>504783843.57999998</v>
      </c>
      <c r="E85" s="69">
        <f>1907223437.63</f>
        <v>1907223437.6300001</v>
      </c>
      <c r="F85" s="69">
        <f>192245489.64</f>
        <v>192245489.63999999</v>
      </c>
      <c r="G85" s="69">
        <f>0</f>
        <v>0</v>
      </c>
      <c r="H85" s="69">
        <f>12286.85</f>
        <v>12286.85</v>
      </c>
      <c r="I85" s="69">
        <f>0</f>
        <v>0</v>
      </c>
      <c r="J85" s="43">
        <f t="shared" si="7"/>
        <v>1.3711736435250399</v>
      </c>
      <c r="K85" s="43">
        <f t="shared" si="8"/>
        <v>15.125881785220621</v>
      </c>
      <c r="N85" s="29"/>
      <c r="O85" s="54"/>
    </row>
    <row r="86" spans="2:15" ht="22.5" customHeight="1" outlineLevel="1" x14ac:dyDescent="0.2">
      <c r="B86" s="10" t="s">
        <v>54</v>
      </c>
      <c r="C86" s="76">
        <f>161051430.66</f>
        <v>161051430.66</v>
      </c>
      <c r="D86" s="76">
        <f>3713959.22</f>
        <v>3713959.22</v>
      </c>
      <c r="E86" s="76">
        <f>16169277.54</f>
        <v>16169277.539999999</v>
      </c>
      <c r="F86" s="76">
        <f>51364.79</f>
        <v>51364.79</v>
      </c>
      <c r="G86" s="76">
        <f>0</f>
        <v>0</v>
      </c>
      <c r="H86" s="76">
        <f>0</f>
        <v>0</v>
      </c>
      <c r="I86" s="76">
        <f>0</f>
        <v>0</v>
      </c>
      <c r="J86" s="43">
        <f t="shared" si="7"/>
        <v>1.0088442925340458E-2</v>
      </c>
      <c r="K86" s="43">
        <f t="shared" si="8"/>
        <v>2.3060703061003158</v>
      </c>
      <c r="N86" s="56"/>
      <c r="O86" s="54"/>
    </row>
    <row r="87" spans="2:15" ht="22.5" customHeight="1" outlineLevel="1" x14ac:dyDescent="0.2">
      <c r="B87" s="10" t="s">
        <v>55</v>
      </c>
      <c r="C87" s="76">
        <f>5794111659.71</f>
        <v>5794111659.71</v>
      </c>
      <c r="D87" s="76">
        <f>1746680329.86</f>
        <v>1746680329.8599999</v>
      </c>
      <c r="E87" s="76">
        <f>4430061932.75</f>
        <v>4430061932.75</v>
      </c>
      <c r="F87" s="76">
        <f>73660682.15</f>
        <v>73660682.150000006</v>
      </c>
      <c r="G87" s="76">
        <f>411599.97</f>
        <v>411599.97</v>
      </c>
      <c r="H87" s="76">
        <f>3562.52</f>
        <v>3562.52</v>
      </c>
      <c r="I87" s="77">
        <f>0</f>
        <v>0</v>
      </c>
      <c r="J87" s="43">
        <f t="shared" si="7"/>
        <v>4.7446091281011569</v>
      </c>
      <c r="K87" s="43">
        <f t="shared" si="8"/>
        <v>30.145783037039759</v>
      </c>
      <c r="N87" s="56"/>
      <c r="O87" s="54"/>
    </row>
    <row r="88" spans="2:15" ht="12.95" customHeight="1" outlineLevel="1" x14ac:dyDescent="0.2">
      <c r="B88" s="10" t="s">
        <v>32</v>
      </c>
      <c r="C88" s="69">
        <f t="shared" ref="C88:I88" si="10">C82-C83-C84-C85-C86-C87</f>
        <v>50606692207.030106</v>
      </c>
      <c r="D88" s="69">
        <f t="shared" si="10"/>
        <v>9285817234.9000034</v>
      </c>
      <c r="E88" s="69">
        <f>E82-E83-E84-E85-E86-E87</f>
        <v>34408628894.460007</v>
      </c>
      <c r="F88" s="69">
        <f t="shared" si="10"/>
        <v>2031163666.1100001</v>
      </c>
      <c r="G88" s="69">
        <f t="shared" si="10"/>
        <v>579634.56999999995</v>
      </c>
      <c r="H88" s="69">
        <f t="shared" si="10"/>
        <v>155856.88000000003</v>
      </c>
      <c r="I88" s="77">
        <f t="shared" si="10"/>
        <v>0</v>
      </c>
      <c r="J88" s="43">
        <f t="shared" si="7"/>
        <v>25.223604148629136</v>
      </c>
      <c r="K88" s="43">
        <f t="shared" si="8"/>
        <v>18.348990676790471</v>
      </c>
      <c r="N88" s="29"/>
      <c r="O88" s="54"/>
    </row>
    <row r="89" spans="2:15" x14ac:dyDescent="0.2">
      <c r="B89" s="65" t="s">
        <v>13</v>
      </c>
      <c r="C89" s="75">
        <f>C5-C79</f>
        <v>-15800561830.779999</v>
      </c>
      <c r="D89" s="75">
        <f>D5-D79</f>
        <v>12858237682.139999</v>
      </c>
      <c r="E89" s="61"/>
      <c r="F89" s="55"/>
      <c r="G89" s="55"/>
      <c r="H89" s="55"/>
      <c r="I89" s="128"/>
      <c r="J89" s="128"/>
      <c r="K89" s="37"/>
      <c r="L89" s="37"/>
      <c r="M89" s="4"/>
      <c r="N89" s="54"/>
      <c r="O89" s="55"/>
    </row>
    <row r="90" spans="2:15" ht="25.5" x14ac:dyDescent="0.2">
      <c r="B90" s="112" t="s">
        <v>128</v>
      </c>
      <c r="C90" s="75">
        <f>+C69-C82</f>
        <v>2498917317.0099792</v>
      </c>
      <c r="D90" s="75">
        <f>+D69-D82</f>
        <v>13785314138.400002</v>
      </c>
      <c r="E90" s="61"/>
      <c r="F90" s="55"/>
      <c r="G90" s="55"/>
      <c r="H90" s="55"/>
      <c r="I90" s="55"/>
      <c r="J90" s="55"/>
      <c r="K90" s="37"/>
      <c r="L90" s="37"/>
      <c r="M90" s="4"/>
      <c r="N90" s="54"/>
      <c r="O90" s="55"/>
    </row>
    <row r="91" spans="2:15" outlineLevel="1" x14ac:dyDescent="0.2">
      <c r="B91" s="109"/>
      <c r="C91" s="110"/>
      <c r="D91" s="110"/>
      <c r="E91" s="55"/>
      <c r="F91" s="55"/>
      <c r="G91" s="55"/>
      <c r="H91" s="55"/>
      <c r="I91" s="55"/>
      <c r="J91" s="55"/>
      <c r="K91" s="37"/>
      <c r="L91" s="37"/>
      <c r="M91" s="4"/>
      <c r="N91" s="54"/>
      <c r="O91" s="55"/>
    </row>
    <row r="92" spans="2:15" outlineLevel="1" x14ac:dyDescent="0.2">
      <c r="B92" s="109"/>
      <c r="C92" s="110"/>
      <c r="D92" s="110"/>
      <c r="E92" s="55"/>
      <c r="F92" s="55"/>
      <c r="G92" s="55"/>
      <c r="H92" s="55"/>
      <c r="I92" s="55"/>
      <c r="J92" s="55"/>
      <c r="K92" s="37"/>
      <c r="L92" s="37"/>
      <c r="M92" s="4"/>
      <c r="N92" s="54"/>
      <c r="O92" s="55"/>
    </row>
    <row r="93" spans="2:15" ht="12.75" customHeight="1" outlineLevel="1" x14ac:dyDescent="0.2">
      <c r="B93" s="141" t="s">
        <v>124</v>
      </c>
      <c r="C93" s="142" t="s">
        <v>108</v>
      </c>
      <c r="D93" s="142"/>
      <c r="E93" s="142" t="s">
        <v>109</v>
      </c>
      <c r="F93" s="142"/>
      <c r="G93" s="113" t="s">
        <v>129</v>
      </c>
      <c r="H93" s="55"/>
      <c r="I93" s="55"/>
      <c r="J93" s="55"/>
      <c r="K93" s="37"/>
      <c r="L93" s="37"/>
      <c r="M93" s="4"/>
      <c r="N93" s="54"/>
      <c r="O93" s="55"/>
    </row>
    <row r="94" spans="2:15" outlineLevel="1" x14ac:dyDescent="0.2">
      <c r="B94" s="141"/>
      <c r="C94" s="114" t="s">
        <v>110</v>
      </c>
      <c r="D94" s="114" t="s">
        <v>111</v>
      </c>
      <c r="E94" s="114" t="s">
        <v>110</v>
      </c>
      <c r="F94" s="114" t="s">
        <v>111</v>
      </c>
      <c r="G94" s="114" t="s">
        <v>110</v>
      </c>
      <c r="H94" s="55"/>
      <c r="I94" s="55"/>
      <c r="J94" s="55"/>
      <c r="K94" s="37"/>
      <c r="L94" s="37"/>
      <c r="M94" s="4"/>
      <c r="N94" s="54"/>
      <c r="O94" s="55"/>
    </row>
    <row r="95" spans="2:15" outlineLevel="1" x14ac:dyDescent="0.2">
      <c r="B95" s="117" t="s">
        <v>125</v>
      </c>
      <c r="C95" s="115">
        <f>1</f>
        <v>1</v>
      </c>
      <c r="D95" s="118">
        <f>2721777.07</f>
        <v>2721777.07</v>
      </c>
      <c r="E95" s="115">
        <f>65</f>
        <v>65</v>
      </c>
      <c r="F95" s="118">
        <f>+-15803283607.85</f>
        <v>-15803283607.85</v>
      </c>
      <c r="G95" s="115">
        <f>0</f>
        <v>0</v>
      </c>
      <c r="H95" s="55"/>
      <c r="I95" s="55"/>
      <c r="J95" s="55"/>
      <c r="K95" s="37"/>
      <c r="L95" s="37"/>
      <c r="M95" s="4"/>
      <c r="N95" s="54"/>
      <c r="O95" s="55"/>
    </row>
    <row r="96" spans="2:15" outlineLevel="1" x14ac:dyDescent="0.2">
      <c r="B96" s="117" t="s">
        <v>126</v>
      </c>
      <c r="C96" s="115">
        <f>66</f>
        <v>66</v>
      </c>
      <c r="D96" s="118">
        <f>12858237682.14</f>
        <v>12858237682.139999</v>
      </c>
      <c r="E96" s="115">
        <f>0</f>
        <v>0</v>
      </c>
      <c r="F96" s="118">
        <f>0</f>
        <v>0</v>
      </c>
      <c r="G96" s="115">
        <f>0</f>
        <v>0</v>
      </c>
      <c r="H96" s="55"/>
      <c r="I96" s="55"/>
      <c r="J96" s="55"/>
      <c r="K96" s="37"/>
      <c r="L96" s="37"/>
      <c r="M96" s="4"/>
      <c r="N96" s="54"/>
      <c r="O96" s="55"/>
    </row>
    <row r="97" spans="2:15" outlineLevel="1" x14ac:dyDescent="0.2">
      <c r="B97" s="116"/>
      <c r="C97" s="116"/>
      <c r="D97" s="116"/>
      <c r="E97" s="116"/>
      <c r="F97" s="116"/>
      <c r="G97" s="116"/>
      <c r="H97" s="55"/>
      <c r="I97" s="55"/>
      <c r="J97" s="55"/>
      <c r="K97" s="37"/>
      <c r="L97" s="37"/>
      <c r="M97" s="4"/>
      <c r="N97" s="54"/>
      <c r="O97" s="55"/>
    </row>
    <row r="98" spans="2:15" ht="12.75" customHeight="1" outlineLevel="1" x14ac:dyDescent="0.2">
      <c r="B98" s="141" t="s">
        <v>127</v>
      </c>
      <c r="C98" s="142" t="s">
        <v>108</v>
      </c>
      <c r="D98" s="142"/>
      <c r="E98" s="142" t="s">
        <v>109</v>
      </c>
      <c r="F98" s="142"/>
      <c r="G98" s="113" t="s">
        <v>129</v>
      </c>
      <c r="H98" s="55"/>
      <c r="I98" s="55"/>
      <c r="J98" s="55"/>
      <c r="K98" s="37"/>
      <c r="L98" s="37"/>
      <c r="M98" s="4"/>
      <c r="N98" s="54"/>
      <c r="O98" s="55"/>
    </row>
    <row r="99" spans="2:15" outlineLevel="1" x14ac:dyDescent="0.2">
      <c r="B99" s="141"/>
      <c r="C99" s="114" t="s">
        <v>110</v>
      </c>
      <c r="D99" s="114" t="s">
        <v>111</v>
      </c>
      <c r="E99" s="114" t="s">
        <v>110</v>
      </c>
      <c r="F99" s="114" t="s">
        <v>111</v>
      </c>
      <c r="G99" s="114" t="s">
        <v>110</v>
      </c>
      <c r="H99" s="55"/>
      <c r="I99" s="55"/>
      <c r="J99" s="55"/>
      <c r="K99" s="37"/>
      <c r="L99" s="37"/>
      <c r="M99" s="4"/>
      <c r="N99" s="54"/>
      <c r="O99" s="55"/>
    </row>
    <row r="100" spans="2:15" outlineLevel="1" x14ac:dyDescent="0.2">
      <c r="B100" s="117" t="s">
        <v>125</v>
      </c>
      <c r="C100" s="115">
        <f>52</f>
        <v>52</v>
      </c>
      <c r="D100" s="118">
        <f>3082656090.09</f>
        <v>3082656090.0900002</v>
      </c>
      <c r="E100" s="115">
        <f>14</f>
        <v>14</v>
      </c>
      <c r="F100" s="118">
        <f>+-583738773.08</f>
        <v>-583738773.08000004</v>
      </c>
      <c r="G100" s="115">
        <f>0</f>
        <v>0</v>
      </c>
      <c r="H100" s="55"/>
      <c r="I100" s="55"/>
      <c r="J100" s="55"/>
      <c r="K100" s="37"/>
      <c r="L100" s="37"/>
      <c r="M100" s="4"/>
      <c r="N100" s="54"/>
      <c r="O100" s="55"/>
    </row>
    <row r="101" spans="2:15" outlineLevel="1" x14ac:dyDescent="0.2">
      <c r="B101" s="117" t="s">
        <v>126</v>
      </c>
      <c r="C101" s="115">
        <f>66</f>
        <v>66</v>
      </c>
      <c r="D101" s="118">
        <f>13785314138.4</f>
        <v>13785314138.4</v>
      </c>
      <c r="E101" s="115">
        <f>0</f>
        <v>0</v>
      </c>
      <c r="F101" s="118">
        <f>0</f>
        <v>0</v>
      </c>
      <c r="G101" s="115">
        <f>0</f>
        <v>0</v>
      </c>
      <c r="H101" s="55"/>
      <c r="I101" s="55"/>
      <c r="J101" s="55"/>
      <c r="K101" s="37"/>
      <c r="L101" s="37"/>
      <c r="M101" s="4"/>
      <c r="N101" s="54"/>
      <c r="O101" s="55"/>
    </row>
    <row r="102" spans="2:15" outlineLevel="1" x14ac:dyDescent="0.2">
      <c r="B102" s="111"/>
      <c r="C102" s="111"/>
      <c r="D102" s="111"/>
      <c r="E102" s="111"/>
      <c r="F102" s="111"/>
      <c r="G102" s="55"/>
      <c r="H102" s="55"/>
      <c r="I102" s="55"/>
      <c r="J102" s="55"/>
      <c r="K102" s="37"/>
      <c r="L102" s="37"/>
      <c r="M102" s="4"/>
      <c r="N102" s="54"/>
      <c r="O102" s="55"/>
    </row>
    <row r="103" spans="2:15" x14ac:dyDescent="0.2">
      <c r="B103" s="38"/>
      <c r="C103" s="39"/>
      <c r="D103" s="39"/>
      <c r="E103" s="39"/>
      <c r="F103" s="40"/>
      <c r="G103" s="40"/>
      <c r="H103" s="40"/>
      <c r="I103" s="40"/>
      <c r="J103" s="41"/>
      <c r="K103" s="41"/>
      <c r="L103" s="42"/>
      <c r="M103" s="35"/>
    </row>
    <row r="104" spans="2:15" x14ac:dyDescent="0.2">
      <c r="B104" s="103" t="s">
        <v>90</v>
      </c>
      <c r="C104" s="57"/>
      <c r="D104" s="57"/>
      <c r="E104" s="57"/>
      <c r="F104" s="58"/>
      <c r="G104" s="58"/>
      <c r="H104" s="58"/>
      <c r="I104" s="58"/>
      <c r="J104" s="59"/>
      <c r="K104" s="59"/>
      <c r="L104" s="42"/>
      <c r="M104" s="35"/>
    </row>
    <row r="105" spans="2:15" ht="26.25" customHeight="1" x14ac:dyDescent="0.2">
      <c r="B105" s="65" t="s">
        <v>72</v>
      </c>
      <c r="C105" s="78">
        <f>10783858007.46</f>
        <v>10783858007.459999</v>
      </c>
      <c r="D105" s="79">
        <f>863358094.81</f>
        <v>863358094.80999994</v>
      </c>
      <c r="E105" s="79">
        <f>5310448265.22</f>
        <v>5310448265.2200003</v>
      </c>
      <c r="F105" s="79">
        <f>186859187.24</f>
        <v>186859187.24000001</v>
      </c>
      <c r="G105" s="79">
        <f>0</f>
        <v>0</v>
      </c>
      <c r="H105" s="79">
        <f>0</f>
        <v>0</v>
      </c>
      <c r="I105" s="79">
        <f>0</f>
        <v>0</v>
      </c>
      <c r="J105" s="62">
        <f>IF($D$105=0,"",100*$D105/$D$105)</f>
        <v>100</v>
      </c>
      <c r="K105" s="43">
        <f>IF(C105=0,"",100*D105/C105)</f>
        <v>8.006022466289437</v>
      </c>
      <c r="L105" s="35"/>
    </row>
    <row r="106" spans="2:15" ht="15" customHeight="1" x14ac:dyDescent="0.2">
      <c r="B106" s="100" t="s">
        <v>59</v>
      </c>
      <c r="C106" s="80">
        <f>9104875109.84</f>
        <v>9104875109.8400002</v>
      </c>
      <c r="D106" s="76">
        <f>637565175.88</f>
        <v>637565175.88</v>
      </c>
      <c r="E106" s="76">
        <f>4712277771.65</f>
        <v>4712277771.6499996</v>
      </c>
      <c r="F106" s="76">
        <f>175239810.95</f>
        <v>175239810.94999999</v>
      </c>
      <c r="G106" s="76">
        <f>0</f>
        <v>0</v>
      </c>
      <c r="H106" s="76">
        <f>0</f>
        <v>0</v>
      </c>
      <c r="I106" s="76">
        <f>0</f>
        <v>0</v>
      </c>
      <c r="J106" s="62">
        <f>IF($D$105=0,"",100*$D106/$D$105)</f>
        <v>73.847130143640982</v>
      </c>
      <c r="K106" s="62">
        <f>IF(C106=0,"",100*D106/C106)</f>
        <v>7.0024593219401545</v>
      </c>
      <c r="L106" s="35"/>
    </row>
    <row r="107" spans="2:15" x14ac:dyDescent="0.2">
      <c r="B107" s="101" t="s">
        <v>60</v>
      </c>
      <c r="C107" s="80">
        <f>C105-C106</f>
        <v>1678982897.6199989</v>
      </c>
      <c r="D107" s="76">
        <f t="shared" ref="D107:I107" si="11">D105-D106</f>
        <v>225792918.92999995</v>
      </c>
      <c r="E107" s="76">
        <f t="shared" si="11"/>
        <v>598170493.57000065</v>
      </c>
      <c r="F107" s="76">
        <f t="shared" si="11"/>
        <v>11619376.290000021</v>
      </c>
      <c r="G107" s="76">
        <f t="shared" si="11"/>
        <v>0</v>
      </c>
      <c r="H107" s="76">
        <f t="shared" si="11"/>
        <v>0</v>
      </c>
      <c r="I107" s="76">
        <f t="shared" si="11"/>
        <v>0</v>
      </c>
      <c r="J107" s="62">
        <f>IF($D$105=0,"",100*$D107/$D$105)</f>
        <v>26.152869856359015</v>
      </c>
      <c r="K107" s="62">
        <f>IF(C107=0,"",100*D107/C107)</f>
        <v>13.448196479551232</v>
      </c>
    </row>
    <row r="108" spans="2:15" ht="6" customHeight="1" x14ac:dyDescent="0.2"/>
    <row r="109" spans="2:15" ht="18" x14ac:dyDescent="0.2">
      <c r="B109" s="87" t="str">
        <f>CONCATENATE("Informacja z wykonania budżetów miast na prawach powiatu za ",$D$145," ",$C$146," rok    ",$C$148,"")</f>
        <v xml:space="preserve">Informacja z wykonania budżetów miast na prawach powiatu za I Kwartał 2026 rok    </v>
      </c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</row>
    <row r="110" spans="2:15" ht="6.75" customHeight="1" x14ac:dyDescent="0.2"/>
    <row r="111" spans="2:15" x14ac:dyDescent="0.2">
      <c r="B111" s="13" t="s">
        <v>14</v>
      </c>
      <c r="C111" s="51" t="s">
        <v>15</v>
      </c>
      <c r="D111" s="8" t="s">
        <v>1</v>
      </c>
      <c r="E111" s="8" t="s">
        <v>20</v>
      </c>
      <c r="F111" s="8" t="s">
        <v>21</v>
      </c>
    </row>
    <row r="112" spans="2:15" x14ac:dyDescent="0.2">
      <c r="B112" s="13"/>
      <c r="C112" s="119" t="s">
        <v>61</v>
      </c>
      <c r="D112" s="120"/>
      <c r="E112" s="123" t="s">
        <v>4</v>
      </c>
      <c r="F112" s="124"/>
    </row>
    <row r="113" spans="2:6" x14ac:dyDescent="0.2">
      <c r="B113" s="11">
        <v>1</v>
      </c>
      <c r="C113" s="14">
        <v>2</v>
      </c>
      <c r="D113" s="12">
        <v>3</v>
      </c>
      <c r="E113" s="12">
        <v>4</v>
      </c>
      <c r="F113" s="12">
        <v>5</v>
      </c>
    </row>
    <row r="114" spans="2:6" ht="25.5" x14ac:dyDescent="0.2">
      <c r="B114" s="63" t="s">
        <v>49</v>
      </c>
      <c r="C114" s="81">
        <f>21691903596.93</f>
        <v>21691903596.93</v>
      </c>
      <c r="D114" s="74">
        <f>10411631292.49</f>
        <v>10411631292.49</v>
      </c>
      <c r="E114" s="44">
        <f>IF($D$114=0,"",100*$D114/$D$114)</f>
        <v>100</v>
      </c>
      <c r="F114" s="36">
        <f t="shared" ref="F114:F121" si="12">IF(C114=0,"",100*D114/C114)</f>
        <v>47.997775971877047</v>
      </c>
    </row>
    <row r="115" spans="2:6" ht="22.5" x14ac:dyDescent="0.2">
      <c r="B115" s="96" t="s">
        <v>73</v>
      </c>
      <c r="C115" s="82">
        <f>17041666732.47</f>
        <v>17041666732.469999</v>
      </c>
      <c r="D115" s="71">
        <f>916450355.8</f>
        <v>916450355.79999995</v>
      </c>
      <c r="E115" s="45">
        <f t="shared" ref="E115:E124" si="13">IF($D$114=0,"",100*$D115/$D$114)</f>
        <v>8.8021783527913016</v>
      </c>
      <c r="F115" s="46">
        <f t="shared" si="12"/>
        <v>5.3777037785503667</v>
      </c>
    </row>
    <row r="116" spans="2:6" ht="11.25" customHeight="1" x14ac:dyDescent="0.2">
      <c r="B116" s="98" t="s">
        <v>74</v>
      </c>
      <c r="C116" s="83">
        <f>1295000000</f>
        <v>1295000000</v>
      </c>
      <c r="D116" s="70">
        <f>30000000</f>
        <v>30000000</v>
      </c>
      <c r="E116" s="47">
        <f t="shared" si="13"/>
        <v>0.28813928535520905</v>
      </c>
      <c r="F116" s="43">
        <f t="shared" si="12"/>
        <v>2.3166023166023164</v>
      </c>
    </row>
    <row r="117" spans="2:6" ht="12.95" customHeight="1" x14ac:dyDescent="0.2">
      <c r="B117" s="97" t="s">
        <v>75</v>
      </c>
      <c r="C117" s="83">
        <f>55978575.79</f>
        <v>55978575.789999999</v>
      </c>
      <c r="D117" s="70">
        <f>2191714.76</f>
        <v>2191714.7599999998</v>
      </c>
      <c r="E117" s="47">
        <f t="shared" si="13"/>
        <v>2.1050637488295446E-2</v>
      </c>
      <c r="F117" s="43">
        <f t="shared" si="12"/>
        <v>3.9152742438858676</v>
      </c>
    </row>
    <row r="118" spans="2:6" ht="45.75" customHeight="1" x14ac:dyDescent="0.2">
      <c r="B118" s="97" t="s">
        <v>83</v>
      </c>
      <c r="C118" s="83">
        <f>149092748.57</f>
        <v>149092748.56999999</v>
      </c>
      <c r="D118" s="70">
        <f>209485715.25</f>
        <v>209485715.25</v>
      </c>
      <c r="E118" s="47">
        <f t="shared" si="13"/>
        <v>2.0120354761419939</v>
      </c>
      <c r="F118" s="43">
        <f t="shared" si="12"/>
        <v>140.50697787736144</v>
      </c>
    </row>
    <row r="119" spans="2:6" ht="35.25" customHeight="1" x14ac:dyDescent="0.2">
      <c r="B119" s="97" t="s">
        <v>80</v>
      </c>
      <c r="C119" s="83">
        <f>754574077.14</f>
        <v>754574077.13999999</v>
      </c>
      <c r="D119" s="70">
        <f>1614933624.7</f>
        <v>1614933624.7</v>
      </c>
      <c r="E119" s="47">
        <f t="shared" si="13"/>
        <v>15.510860683905179</v>
      </c>
      <c r="F119" s="43">
        <f t="shared" si="12"/>
        <v>214.01922934073616</v>
      </c>
    </row>
    <row r="120" spans="2:6" ht="12.95" customHeight="1" x14ac:dyDescent="0.2">
      <c r="B120" s="97" t="s">
        <v>76</v>
      </c>
      <c r="C120" s="83">
        <f>0</f>
        <v>0</v>
      </c>
      <c r="D120" s="70">
        <f>0</f>
        <v>0</v>
      </c>
      <c r="E120" s="47">
        <f t="shared" si="13"/>
        <v>0</v>
      </c>
      <c r="F120" s="43" t="str">
        <f t="shared" si="12"/>
        <v/>
      </c>
    </row>
    <row r="121" spans="2:6" ht="35.25" customHeight="1" x14ac:dyDescent="0.2">
      <c r="B121" s="97" t="s">
        <v>79</v>
      </c>
      <c r="C121" s="83">
        <f>3039256702.27</f>
        <v>3039256702.27</v>
      </c>
      <c r="D121" s="70">
        <f>6581733868.69</f>
        <v>6581733868.6899996</v>
      </c>
      <c r="E121" s="47">
        <f t="shared" si="13"/>
        <v>63.215203110750394</v>
      </c>
      <c r="F121" s="43">
        <f t="shared" si="12"/>
        <v>216.5573531111784</v>
      </c>
    </row>
    <row r="122" spans="2:6" ht="56.25" x14ac:dyDescent="0.2">
      <c r="B122" s="106" t="s">
        <v>102</v>
      </c>
      <c r="C122" s="83">
        <f>0</f>
        <v>0</v>
      </c>
      <c r="D122" s="70">
        <f>15539453.36</f>
        <v>15539453.359999999</v>
      </c>
      <c r="E122" s="47">
        <f t="shared" si="13"/>
        <v>0.14925089953203341</v>
      </c>
      <c r="F122" s="43" t="str">
        <f t="shared" ref="F122:F130" si="14">IF(C122=0,"",100*D122/C122)</f>
        <v/>
      </c>
    </row>
    <row r="123" spans="2:6" x14ac:dyDescent="0.2">
      <c r="B123" s="106" t="s">
        <v>98</v>
      </c>
      <c r="C123" s="83">
        <f>651334760.69</f>
        <v>651334760.69000006</v>
      </c>
      <c r="D123" s="70">
        <f>1071296559.93</f>
        <v>1071296559.9299999</v>
      </c>
      <c r="E123" s="47">
        <f t="shared" si="13"/>
        <v>10.289420839390802</v>
      </c>
      <c r="F123" s="43">
        <f t="shared" si="14"/>
        <v>164.47710525922307</v>
      </c>
    </row>
    <row r="124" spans="2:6" ht="22.5" x14ac:dyDescent="0.2">
      <c r="B124" s="107" t="s">
        <v>99</v>
      </c>
      <c r="C124" s="83">
        <f>637743298.14</f>
        <v>637743298.13999999</v>
      </c>
      <c r="D124" s="70">
        <f>732705097.38</f>
        <v>732705097.38</v>
      </c>
      <c r="E124" s="47">
        <f t="shared" si="13"/>
        <v>7.0373707711730686</v>
      </c>
      <c r="F124" s="43">
        <f t="shared" si="14"/>
        <v>114.89028571793061</v>
      </c>
    </row>
    <row r="125" spans="2:6" ht="25.5" x14ac:dyDescent="0.2">
      <c r="B125" s="66" t="s">
        <v>50</v>
      </c>
      <c r="C125" s="84">
        <f>5891341766.15</f>
        <v>5891341766.1499996</v>
      </c>
      <c r="D125" s="74">
        <f>2603129428.28</f>
        <v>2603129428.2800002</v>
      </c>
      <c r="E125" s="48">
        <f t="shared" ref="E125:E130" si="15">IF($D$125=0,"",100*$D125/$D$125)</f>
        <v>100</v>
      </c>
      <c r="F125" s="36">
        <f t="shared" si="14"/>
        <v>44.185680132102554</v>
      </c>
    </row>
    <row r="126" spans="2:6" ht="22.5" x14ac:dyDescent="0.2">
      <c r="B126" s="97" t="s">
        <v>77</v>
      </c>
      <c r="C126" s="83">
        <f>5734407187.62</f>
        <v>5734407187.6199999</v>
      </c>
      <c r="D126" s="70">
        <f>1860412771.88</f>
        <v>1860412771.8800001</v>
      </c>
      <c r="E126" s="47">
        <f t="shared" si="15"/>
        <v>71.468316237708351</v>
      </c>
      <c r="F126" s="43">
        <f t="shared" si="14"/>
        <v>32.442983398466041</v>
      </c>
    </row>
    <row r="127" spans="2:6" ht="12.95" customHeight="1" x14ac:dyDescent="0.2">
      <c r="B127" s="98" t="s">
        <v>78</v>
      </c>
      <c r="C127" s="83">
        <f>150946000</f>
        <v>150946000</v>
      </c>
      <c r="D127" s="70">
        <f>28000000</f>
        <v>28000000</v>
      </c>
      <c r="E127" s="47">
        <f t="shared" si="15"/>
        <v>1.0756284223063317</v>
      </c>
      <c r="F127" s="43">
        <f t="shared" si="14"/>
        <v>18.549680018019689</v>
      </c>
    </row>
    <row r="128" spans="2:6" ht="12.95" customHeight="1" x14ac:dyDescent="0.2">
      <c r="B128" s="97" t="s">
        <v>89</v>
      </c>
      <c r="C128" s="83">
        <f>135865308</f>
        <v>135865308</v>
      </c>
      <c r="D128" s="70">
        <f>98716656.4</f>
        <v>98716656.400000006</v>
      </c>
      <c r="E128" s="47">
        <f t="shared" si="15"/>
        <v>3.792230049246009</v>
      </c>
      <c r="F128" s="43">
        <f t="shared" si="14"/>
        <v>72.657735703951744</v>
      </c>
    </row>
    <row r="129" spans="2:8" ht="12.95" customHeight="1" x14ac:dyDescent="0.2">
      <c r="B129" s="97" t="s">
        <v>100</v>
      </c>
      <c r="C129" s="83">
        <f>21069270.53</f>
        <v>21069270.530000001</v>
      </c>
      <c r="D129" s="70">
        <f>644000000</f>
        <v>644000000</v>
      </c>
      <c r="E129" s="47">
        <f t="shared" si="15"/>
        <v>24.739453713045631</v>
      </c>
      <c r="F129" s="43">
        <f t="shared" si="14"/>
        <v>3056.5842281204027</v>
      </c>
    </row>
    <row r="130" spans="2:8" ht="22.5" x14ac:dyDescent="0.2">
      <c r="B130" s="107" t="s">
        <v>101</v>
      </c>
      <c r="C130" s="83">
        <f>5538307.98</f>
        <v>5538307.9800000004</v>
      </c>
      <c r="D130" s="70">
        <f>0</f>
        <v>0</v>
      </c>
      <c r="E130" s="47">
        <f t="shared" si="15"/>
        <v>0</v>
      </c>
      <c r="F130" s="43">
        <f t="shared" si="14"/>
        <v>0</v>
      </c>
    </row>
    <row r="131" spans="2:8" x14ac:dyDescent="0.2">
      <c r="B131" s="26"/>
      <c r="C131" s="26"/>
      <c r="D131" s="26"/>
      <c r="E131" s="26"/>
      <c r="F131" s="26"/>
      <c r="G131" s="26"/>
      <c r="H131" s="26"/>
    </row>
    <row r="132" spans="2:8" x14ac:dyDescent="0.2">
      <c r="B132" s="13" t="s">
        <v>14</v>
      </c>
      <c r="C132" s="11" t="s">
        <v>15</v>
      </c>
      <c r="D132" s="11" t="s">
        <v>1</v>
      </c>
      <c r="E132" s="60"/>
    </row>
    <row r="133" spans="2:8" x14ac:dyDescent="0.2">
      <c r="B133" s="13"/>
      <c r="C133" s="121" t="s">
        <v>61</v>
      </c>
      <c r="D133" s="122"/>
      <c r="E133" s="60"/>
    </row>
    <row r="134" spans="2:8" x14ac:dyDescent="0.2">
      <c r="B134" s="11">
        <v>1</v>
      </c>
      <c r="C134" s="11">
        <v>2</v>
      </c>
      <c r="D134" s="11">
        <v>3</v>
      </c>
      <c r="E134" s="60"/>
    </row>
    <row r="135" spans="2:8" ht="36" customHeight="1" x14ac:dyDescent="0.2">
      <c r="B135" s="64" t="s">
        <v>103</v>
      </c>
      <c r="C135" s="83">
        <f>15803283607.85</f>
        <v>15803283607.85</v>
      </c>
      <c r="D135" s="70">
        <f>0</f>
        <v>0</v>
      </c>
      <c r="E135" s="60"/>
    </row>
    <row r="136" spans="2:8" ht="33.75" x14ac:dyDescent="0.2">
      <c r="B136" s="102" t="s">
        <v>63</v>
      </c>
      <c r="C136" s="83">
        <f>1187650366.16</f>
        <v>1187650366.1600001</v>
      </c>
      <c r="D136" s="70">
        <f>0</f>
        <v>0</v>
      </c>
      <c r="E136" s="60"/>
    </row>
    <row r="137" spans="2:8" ht="12.95" customHeight="1" x14ac:dyDescent="0.2">
      <c r="B137" s="102" t="s">
        <v>64</v>
      </c>
      <c r="C137" s="83">
        <f>10780270529.09</f>
        <v>10780270529.09</v>
      </c>
      <c r="D137" s="70">
        <f>0</f>
        <v>0</v>
      </c>
      <c r="E137" s="60"/>
    </row>
    <row r="138" spans="2:8" ht="22.5" x14ac:dyDescent="0.2">
      <c r="B138" s="102" t="s">
        <v>65</v>
      </c>
      <c r="C138" s="83">
        <f>0</f>
        <v>0</v>
      </c>
      <c r="D138" s="70">
        <f>0</f>
        <v>0</v>
      </c>
      <c r="E138" s="60"/>
    </row>
    <row r="139" spans="2:8" ht="58.5" customHeight="1" x14ac:dyDescent="0.2">
      <c r="B139" s="102" t="s">
        <v>86</v>
      </c>
      <c r="C139" s="83">
        <f>149092748.57</f>
        <v>149092748.56999999</v>
      </c>
      <c r="D139" s="70">
        <f>0</f>
        <v>0</v>
      </c>
      <c r="E139" s="60"/>
    </row>
    <row r="140" spans="2:8" ht="78.75" x14ac:dyDescent="0.2">
      <c r="B140" s="102" t="s">
        <v>66</v>
      </c>
      <c r="C140" s="83">
        <f>2295245339.89</f>
        <v>2295245339.8899999</v>
      </c>
      <c r="D140" s="70">
        <f>0</f>
        <v>0</v>
      </c>
      <c r="E140" s="60"/>
    </row>
    <row r="141" spans="2:8" ht="147" customHeight="1" x14ac:dyDescent="0.2">
      <c r="B141" s="102" t="s">
        <v>84</v>
      </c>
      <c r="C141" s="83">
        <f>748337149.46</f>
        <v>748337149.46000004</v>
      </c>
      <c r="D141" s="70">
        <f>0</f>
        <v>0</v>
      </c>
      <c r="E141" s="35"/>
    </row>
    <row r="142" spans="2:8" ht="22.5" x14ac:dyDescent="0.2">
      <c r="B142" s="102" t="s">
        <v>85</v>
      </c>
      <c r="C142" s="83">
        <f>8521662.66</f>
        <v>8521662.6600000001</v>
      </c>
      <c r="D142" s="70">
        <f>0</f>
        <v>0</v>
      </c>
      <c r="E142" s="35"/>
    </row>
    <row r="143" spans="2:8" ht="22.5" x14ac:dyDescent="0.2">
      <c r="B143" s="108" t="s">
        <v>99</v>
      </c>
      <c r="C143" s="83">
        <f>634165812.02</f>
        <v>634165812.01999998</v>
      </c>
      <c r="D143" s="70">
        <f>0</f>
        <v>0</v>
      </c>
      <c r="E143" s="35"/>
    </row>
    <row r="144" spans="2:8" x14ac:dyDescent="0.2">
      <c r="B144" s="49"/>
      <c r="C144" s="41"/>
      <c r="D144" s="41"/>
      <c r="E144" s="41"/>
      <c r="F144" s="41"/>
      <c r="G144" s="41"/>
      <c r="H144" s="41"/>
    </row>
    <row r="145" spans="2:4" ht="12" customHeight="1" x14ac:dyDescent="0.2">
      <c r="B145" s="50" t="s">
        <v>51</v>
      </c>
      <c r="C145" s="50">
        <f>1</f>
        <v>1</v>
      </c>
      <c r="D145" s="50" t="str">
        <f>IF(C145=1,"I Kwartał",IF(C145=2,"II Kwartały",IF(C145=3,"III Kwartały",IF(C145=4,"IV Kwartały",IF(C145="M1","Styczeń",IF(C145="M11","Listopad",IF(C145="M12","Grudzień","-")))))))</f>
        <v>I Kwartał</v>
      </c>
    </row>
    <row r="146" spans="2:4" x14ac:dyDescent="0.2">
      <c r="B146" s="50" t="s">
        <v>52</v>
      </c>
      <c r="C146" s="85">
        <f>2026</f>
        <v>2026</v>
      </c>
      <c r="D146" s="49"/>
    </row>
    <row r="147" spans="2:4" x14ac:dyDescent="0.2">
      <c r="B147" s="50" t="s">
        <v>53</v>
      </c>
      <c r="C147" s="126" t="str">
        <f>"May 18 2026 12:00AM"</f>
        <v>May 18 2026 12:00AM</v>
      </c>
      <c r="D147" s="127"/>
    </row>
    <row r="148" spans="2:4" hidden="1" x14ac:dyDescent="0.2">
      <c r="B148" s="50" t="s">
        <v>56</v>
      </c>
      <c r="C148" s="86" t="str">
        <f>""</f>
        <v/>
      </c>
      <c r="D148" s="49"/>
    </row>
  </sheetData>
  <mergeCells count="26">
    <mergeCell ref="B93:B94"/>
    <mergeCell ref="C93:D93"/>
    <mergeCell ref="E93:F93"/>
    <mergeCell ref="B98:B99"/>
    <mergeCell ref="C98:D98"/>
    <mergeCell ref="E98:F98"/>
    <mergeCell ref="B2:B3"/>
    <mergeCell ref="C74:C76"/>
    <mergeCell ref="B74:B77"/>
    <mergeCell ref="J74:J76"/>
    <mergeCell ref="J3:L3"/>
    <mergeCell ref="C3:I3"/>
    <mergeCell ref="K74:K76"/>
    <mergeCell ref="F75:F76"/>
    <mergeCell ref="F74:H74"/>
    <mergeCell ref="I74:I76"/>
    <mergeCell ref="C77:I77"/>
    <mergeCell ref="G75:H75"/>
    <mergeCell ref="D74:D76"/>
    <mergeCell ref="E74:E76"/>
    <mergeCell ref="C112:D112"/>
    <mergeCell ref="C133:D133"/>
    <mergeCell ref="E112:F112"/>
    <mergeCell ref="J77:K77"/>
    <mergeCell ref="C147:D147"/>
    <mergeCell ref="I89:J89"/>
  </mergeCells>
  <phoneticPr fontId="0" type="noConversion"/>
  <printOptions horizontalCentered="1"/>
  <pageMargins left="0" right="0" top="0" bottom="0" header="0" footer="0"/>
  <pageSetup paperSize="9" scale="85" fitToWidth="2" fitToHeight="2" orientation="landscape" useFirstPageNumber="1" r:id="rId1"/>
  <headerFooter alignWithMargins="0">
    <oddFooter>&amp;RStrona &amp;P z &amp;N</oddFooter>
  </headerFooter>
  <rowBreaks count="5" manualBreakCount="5">
    <brk id="24" max="16383" man="1"/>
    <brk id="61" min="1" max="11" man="1"/>
    <brk id="71" max="16383" man="1"/>
    <brk id="108" max="16383" man="1"/>
    <brk id="1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2025-02-07T10:12:17Z</cp:lastPrinted>
  <dcterms:created xsi:type="dcterms:W3CDTF">2001-05-17T08:58:03Z</dcterms:created>
  <dcterms:modified xsi:type="dcterms:W3CDTF">2026-05-29T11:57:49Z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2022-06-01T15:12:31.7108919+02:00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GRN-2cd18ff7-932d-4776-b890-6d741b929fdc</vt:lpwstr>
  </property>
  <property fmtid="{D5CDD505-2E9C-101B-9397-08002B2CF9AE}" pid="7" name="MFHash">
    <vt:lpwstr>OTgls01WM3N6lxmUY94TawYv0KG6fXLBz/RcoeeeVtg=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