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<sst xmlns="http://schemas.openxmlformats.org/spreadsheetml/2006/main" count="263" uniqueCount="116">
  <si>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</si>
  <si>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</si>
  <si>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</si>
  <si>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</si>
  <si>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</si>
  <si>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</si>
  <si>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</si>
  <si>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</si>
  <si>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</si>
  <si>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</si>
  <si>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</si>
  <si>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</si>
  <si>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</si>
  <si>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</si>
  <si>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</si>
  <si>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</si>
  <si>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</si>
  <si>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</si>
  <si>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</si>
  <si>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</si>
  <si>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</si>
  <si>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</si>
  <si>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</si>
  <si>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</si>
  <si>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</si>
  <si>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</si>
  <si>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</si>
  <si>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</si>
  <si>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</si>
  <si>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</si>
  <si>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</si>
  <si>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</si>
  <si>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</si>
  <si>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</si>
  <si>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</si>
  <si>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</si>
  <si>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</si>
  <si>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</si>
  <si>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</si>
  <si>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</si>
  <si>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</si>
  <si>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</si>
  <si>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</si>
  <si>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</si>
  <si>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</si>
  <si>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</si>
  <si>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</si>
  <si>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</si>
  <si>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</si>
  <si>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</si>
  <si>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</si>
  <si>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</si>
  <si>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</si>
  <si>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</si>
  <si>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</si>
  <si>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</si>
  <si>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</si>
  <si>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</si>
  <si>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</si>
  <si>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</si>
  <si>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</si>
  <si>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</si>
  <si>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</si>
  <si>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</si>
  <si>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</si>
  <si>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</si>
  <si>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</si>
  <si>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</si>
  <si>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</si>
  <si>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</si>
  <si>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</si>
  <si>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</si>
  <si>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</si>
  <si>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</si>
  <si>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</si>
  <si>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</si>
  <si>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</si>
  <si>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</si>
  <si>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</si>
  <si>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</si>
  <si>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</si>
  <si>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</si>
  <si>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</si>
  <si>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</si>
  <si>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</si>
  <si>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</si>
  <si>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</si>
  <si>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</si>
  <si>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</si>
  <si>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</si>
  <si>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</si>
  <si>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</si>
  <si>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</si>
  <si>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</si>
  <si>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</si>
  <si>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</si>
  <si>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</si>
  <si>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</si>
  <si>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</si>
  <si>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</si>
  <si>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</si>
  <si>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</si>
  <si>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</si>
  <si>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</si>
  <si>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</si>
  <si>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</si>
  <si>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</si>
  <si>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</si>
  <si>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</si>
  <si>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</si>
  <si>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</si>
  <si>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</si>
  <si>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</si>
  <si>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</si>
  <si>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</si>
  <si>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Informacja z wykonania budżetów jednostek samorządu terytorialnego za II Kwartały 2018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</si>
</sst>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104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4"/>
      <c r="C4" s="101" t="s">
        <v>84</v>
      </c>
      <c r="D4" s="101"/>
      <c r="E4" s="101"/>
      <c r="F4" s="101"/>
      <c r="G4" s="101"/>
      <c r="H4" s="101"/>
      <c r="I4" s="101"/>
      <c r="J4" s="101"/>
      <c r="K4" s="101" t="s">
        <v>4</v>
      </c>
      <c r="L4" s="101"/>
      <c r="M4" s="101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255452091385.34</f>
        <v>255452091385.34</v>
      </c>
      <c r="D6" s="69">
        <f>125721553949.86</f>
        <v>125721553949.86</v>
      </c>
      <c r="E6" s="69">
        <f>120045232383.6</f>
        <v>120045232383.6</v>
      </c>
      <c r="F6" s="69">
        <f>1639982491.2</f>
        <v>1639982491.2</v>
      </c>
      <c r="G6" s="69">
        <f>378771274.22</f>
        <v>378771274.22</v>
      </c>
      <c r="H6" s="69">
        <f>53731759.76</f>
        <v>53731759.76</v>
      </c>
      <c r="I6" s="69">
        <f>162713870.47</f>
        <v>162713870.47</v>
      </c>
      <c r="J6" s="69">
        <f>643498.08</f>
        <v>643498.08</v>
      </c>
      <c r="K6" s="70">
        <f aca="true" t="shared" si="0" ref="K6:K46">IF($D$6=0,"",100*$D6/$D$6)</f>
        <v>100</v>
      </c>
      <c r="L6" s="70">
        <f aca="true" t="shared" si="1" ref="L6:L50">IF(C6=0,"",100*D6/C6)</f>
        <v>49.21531597884384</v>
      </c>
      <c r="M6" s="70"/>
    </row>
    <row r="7" spans="2:13" ht="38.25" customHeight="1">
      <c r="B7" s="20" t="s">
        <v>65</v>
      </c>
      <c r="C7" s="25">
        <f>C6-C22-C40</f>
        <v>119977978354.88998</v>
      </c>
      <c r="D7" s="25">
        <f>D6-D22-D40</f>
        <v>61528694373.770004</v>
      </c>
      <c r="E7" s="25">
        <f>E6-E22-E40</f>
        <v>59226392327.810005</v>
      </c>
      <c r="F7" s="25">
        <f>F6</f>
        <v>1639982491.2</v>
      </c>
      <c r="G7" s="25">
        <f>G6</f>
        <v>378771274.22</v>
      </c>
      <c r="H7" s="25">
        <f>H6</f>
        <v>53731759.76</v>
      </c>
      <c r="I7" s="25">
        <f>I6</f>
        <v>162713870.47</v>
      </c>
      <c r="J7" s="25">
        <f>J6</f>
        <v>643498.08</v>
      </c>
      <c r="K7" s="31">
        <f t="shared" si="0"/>
        <v>48.94045009840456</v>
      </c>
      <c r="L7" s="31">
        <f t="shared" si="1"/>
        <v>51.28332317099945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8674140593.67</f>
        <v>8674140593.67</v>
      </c>
      <c r="D8" s="23">
        <f>5219760375.36</f>
        <v>5219760375.36</v>
      </c>
      <c r="E8" s="23">
        <f>5366746117.55</f>
        <v>5366746117.55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4.151842075895541</v>
      </c>
      <c r="L8" s="32">
        <f t="shared" si="1"/>
        <v>60.17610988654192</v>
      </c>
      <c r="M8" s="32">
        <f t="shared" si="2"/>
        <v>8.483457073948914</v>
      </c>
    </row>
    <row r="9" spans="2:13" ht="32.25" customHeight="1">
      <c r="B9" s="21" t="s">
        <v>19</v>
      </c>
      <c r="C9" s="23">
        <f>47831586738.87</f>
        <v>47831586738.87</v>
      </c>
      <c r="D9" s="23">
        <f>23083644810</f>
        <v>23083644810</v>
      </c>
      <c r="E9" s="23">
        <f>20664206344.02</f>
        <v>20664206344.02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18.36092864331455</v>
      </c>
      <c r="L9" s="32">
        <f t="shared" si="1"/>
        <v>48.26025307506941</v>
      </c>
      <c r="M9" s="32">
        <f t="shared" si="2"/>
        <v>37.51687736094832</v>
      </c>
    </row>
    <row r="10" spans="2:13" ht="32.25" customHeight="1">
      <c r="B10" s="21" t="s">
        <v>20</v>
      </c>
      <c r="C10" s="23">
        <f>1526335981.89</f>
        <v>1526335981.89</v>
      </c>
      <c r="D10" s="23">
        <f>866855134.46</f>
        <v>866855134.46</v>
      </c>
      <c r="E10" s="23">
        <f>866997894.74</f>
        <v>866997894.74</v>
      </c>
      <c r="F10" s="23">
        <f>59670335.21</f>
        <v>59670335.21</v>
      </c>
      <c r="G10" s="23">
        <f>496772.84</f>
        <v>496772.84</v>
      </c>
      <c r="H10" s="23">
        <f>2318472.24</f>
        <v>2318472.24</v>
      </c>
      <c r="I10" s="23">
        <f>3412546.53</f>
        <v>3412546.53</v>
      </c>
      <c r="J10" s="24">
        <f>1192.24</f>
        <v>1192.24</v>
      </c>
      <c r="K10" s="32">
        <f t="shared" si="0"/>
        <v>0.6895039929316474</v>
      </c>
      <c r="L10" s="32">
        <f t="shared" si="1"/>
        <v>56.79320573879208</v>
      </c>
      <c r="M10" s="32">
        <f t="shared" si="2"/>
        <v>1.4088632032301742</v>
      </c>
    </row>
    <row r="11" spans="2:13" ht="32.25" customHeight="1">
      <c r="B11" s="21" t="s">
        <v>21</v>
      </c>
      <c r="C11" s="23">
        <f>22378605657.62</f>
        <v>22378605657.62</v>
      </c>
      <c r="D11" s="23">
        <f>11956587157.84</f>
        <v>11956587157.84</v>
      </c>
      <c r="E11" s="23">
        <f>11956131047.88</f>
        <v>11956131047.88</v>
      </c>
      <c r="F11" s="23">
        <f>1115095896.33</f>
        <v>1115095896.33</v>
      </c>
      <c r="G11" s="23">
        <f>374514235.07</f>
        <v>374514235.07</v>
      </c>
      <c r="H11" s="23">
        <f>37496705.44</f>
        <v>37496705.44</v>
      </c>
      <c r="I11" s="23">
        <f>131339577.37</f>
        <v>131339577.37</v>
      </c>
      <c r="J11" s="24">
        <f>493886.37</f>
        <v>493886.37</v>
      </c>
      <c r="K11" s="32">
        <f t="shared" si="0"/>
        <v>9.510371755831542</v>
      </c>
      <c r="L11" s="32">
        <f t="shared" si="1"/>
        <v>53.42865118930561</v>
      </c>
      <c r="M11" s="32">
        <f t="shared" si="2"/>
        <v>19.432538394536703</v>
      </c>
    </row>
    <row r="12" spans="2:13" ht="32.25" customHeight="1">
      <c r="B12" s="21" t="s">
        <v>22</v>
      </c>
      <c r="C12" s="23">
        <f>297527876.02</f>
        <v>297527876.02</v>
      </c>
      <c r="D12" s="23">
        <f>166492696.04</f>
        <v>166492696.04</v>
      </c>
      <c r="E12" s="23">
        <f>166298524.81</f>
        <v>166298524.81</v>
      </c>
      <c r="F12" s="23">
        <f>1313450.9</f>
        <v>1313450.9</v>
      </c>
      <c r="G12" s="23">
        <f>524146.01</f>
        <v>524146.01</v>
      </c>
      <c r="H12" s="23">
        <f>109919.87</f>
        <v>109919.87</v>
      </c>
      <c r="I12" s="23">
        <f>49643.82</f>
        <v>49643.82</v>
      </c>
      <c r="J12" s="24">
        <f>36.12</f>
        <v>36.12</v>
      </c>
      <c r="K12" s="32">
        <f t="shared" si="0"/>
        <v>0.13242971535843429</v>
      </c>
      <c r="L12" s="32">
        <f t="shared" si="1"/>
        <v>55.95868806215935</v>
      </c>
      <c r="M12" s="32">
        <f t="shared" si="2"/>
        <v>0.2705935787107758</v>
      </c>
    </row>
    <row r="13" spans="2:13" ht="32.25" customHeight="1">
      <c r="B13" s="21" t="s">
        <v>23</v>
      </c>
      <c r="C13" s="23">
        <f>1117860693.57</f>
        <v>1117860693.57</v>
      </c>
      <c r="D13" s="23">
        <f>589963327.11</f>
        <v>589963327.11</v>
      </c>
      <c r="E13" s="23">
        <f>589938857.27</f>
        <v>589938857.27</v>
      </c>
      <c r="F13" s="23">
        <f>455170756.29</f>
        <v>455170756.29</v>
      </c>
      <c r="G13" s="23">
        <f>1047230.86</f>
        <v>1047230.86</v>
      </c>
      <c r="H13" s="23">
        <f>1832429.71</f>
        <v>1832429.71</v>
      </c>
      <c r="I13" s="23">
        <f>7667374.84</f>
        <v>7667374.84</v>
      </c>
      <c r="J13" s="24">
        <f>17968.92</f>
        <v>17968.92</v>
      </c>
      <c r="K13" s="32">
        <f t="shared" si="0"/>
        <v>0.4692618795861272</v>
      </c>
      <c r="L13" s="32">
        <f t="shared" si="1"/>
        <v>52.776104438013036</v>
      </c>
      <c r="M13" s="32">
        <f t="shared" si="2"/>
        <v>0.9588425906230579</v>
      </c>
    </row>
    <row r="14" spans="2:13" ht="43.5" customHeight="1">
      <c r="B14" s="21" t="s">
        <v>46</v>
      </c>
      <c r="C14" s="23">
        <f>70536926.92</f>
        <v>70536926.92</v>
      </c>
      <c r="D14" s="23">
        <f>28278120.94</f>
        <v>28278120.94</v>
      </c>
      <c r="E14" s="23">
        <f>28381648.45</f>
        <v>28381648.45</v>
      </c>
      <c r="F14" s="23">
        <f>0</f>
        <v>0</v>
      </c>
      <c r="G14" s="23">
        <f>0</f>
        <v>0</v>
      </c>
      <c r="H14" s="23">
        <f>21188.1</f>
        <v>21188.1</v>
      </c>
      <c r="I14" s="23">
        <f>346675.08</f>
        <v>346675.08</v>
      </c>
      <c r="J14" s="24">
        <f>0</f>
        <v>0</v>
      </c>
      <c r="K14" s="32">
        <f t="shared" si="0"/>
        <v>0.02249265941405546</v>
      </c>
      <c r="L14" s="32">
        <f t="shared" si="1"/>
        <v>40.08981135805909</v>
      </c>
      <c r="M14" s="32">
        <f t="shared" si="2"/>
        <v>0.045959241013986324</v>
      </c>
    </row>
    <row r="15" spans="2:13" ht="32.25" customHeight="1">
      <c r="B15" s="21" t="s">
        <v>28</v>
      </c>
      <c r="C15" s="23">
        <f>262096256.72</f>
        <v>262096256.72</v>
      </c>
      <c r="D15" s="23">
        <f>144346835.41</f>
        <v>144346835.41</v>
      </c>
      <c r="E15" s="23">
        <f>143633792.49</f>
        <v>143633792.49</v>
      </c>
      <c r="F15" s="23">
        <f>0</f>
        <v>0</v>
      </c>
      <c r="G15" s="23">
        <f>19644</f>
        <v>19644</v>
      </c>
      <c r="H15" s="23">
        <f>3037292.08</f>
        <v>3037292.08</v>
      </c>
      <c r="I15" s="23">
        <f>6982531.83</f>
        <v>6982531.83</v>
      </c>
      <c r="J15" s="24">
        <f>0</f>
        <v>0</v>
      </c>
      <c r="K15" s="32">
        <f t="shared" si="0"/>
        <v>0.11481470827792034</v>
      </c>
      <c r="L15" s="32">
        <f t="shared" si="1"/>
        <v>55.073978246170505</v>
      </c>
      <c r="M15" s="32">
        <f t="shared" si="2"/>
        <v>0.2346008425485716</v>
      </c>
    </row>
    <row r="16" spans="2:13" ht="32.25" customHeight="1">
      <c r="B16" s="21" t="s">
        <v>29</v>
      </c>
      <c r="C16" s="23">
        <f>2099771317.05</f>
        <v>2099771317.05</v>
      </c>
      <c r="D16" s="23">
        <f>1341823085.98</f>
        <v>1341823085.98</v>
      </c>
      <c r="E16" s="23">
        <f>1336589148.5</f>
        <v>1336589148.5</v>
      </c>
      <c r="F16" s="23">
        <f>0</f>
        <v>0</v>
      </c>
      <c r="G16" s="23">
        <f>0</f>
        <v>0</v>
      </c>
      <c r="H16" s="23">
        <f>88652.68</f>
        <v>88652.68</v>
      </c>
      <c r="I16" s="23">
        <f>405668.37</f>
        <v>405668.37</v>
      </c>
      <c r="J16" s="24">
        <f>0</f>
        <v>0</v>
      </c>
      <c r="K16" s="32">
        <f t="shared" si="0"/>
        <v>1.0672975665852356</v>
      </c>
      <c r="L16" s="32">
        <f t="shared" si="1"/>
        <v>63.90329628205167</v>
      </c>
      <c r="M16" s="32">
        <f t="shared" si="2"/>
        <v>2.180808644871922</v>
      </c>
    </row>
    <row r="17" spans="2:13" ht="32.25" customHeight="1">
      <c r="B17" s="21" t="s">
        <v>30</v>
      </c>
      <c r="C17" s="23">
        <f>450669909.79</f>
        <v>450669909.79</v>
      </c>
      <c r="D17" s="23">
        <f>240462680.02</f>
        <v>240462680.02</v>
      </c>
      <c r="E17" s="23">
        <f>240260000.82</f>
        <v>240260000.82</v>
      </c>
      <c r="F17" s="23">
        <f>0</f>
        <v>0</v>
      </c>
      <c r="G17" s="23">
        <f>0</f>
        <v>0</v>
      </c>
      <c r="H17" s="23">
        <f>67481.6</f>
        <v>67481.6</v>
      </c>
      <c r="I17" s="23">
        <f>3832</f>
        <v>3832</v>
      </c>
      <c r="J17" s="24">
        <f>0</f>
        <v>0</v>
      </c>
      <c r="K17" s="32">
        <f t="shared" si="0"/>
        <v>0.19126607368844709</v>
      </c>
      <c r="L17" s="32">
        <f t="shared" si="1"/>
        <v>53.356719584861814</v>
      </c>
      <c r="M17" s="32">
        <f t="shared" si="2"/>
        <v>0.3908138836154314</v>
      </c>
    </row>
    <row r="18" spans="2:13" ht="32.25" customHeight="1">
      <c r="B18" s="21" t="s">
        <v>31</v>
      </c>
      <c r="C18" s="23">
        <f>412181050.1</f>
        <v>412181050.1</v>
      </c>
      <c r="D18" s="23">
        <f>218073935.39</f>
        <v>218073935.39</v>
      </c>
      <c r="E18" s="23">
        <f>218062815.99</f>
        <v>218062815.99</v>
      </c>
      <c r="F18" s="23">
        <f>0</f>
        <v>0</v>
      </c>
      <c r="G18" s="23">
        <f>0</f>
        <v>0</v>
      </c>
      <c r="H18" s="23">
        <f>0</f>
        <v>0</v>
      </c>
      <c r="I18" s="23">
        <f>325492.35</f>
        <v>325492.35</v>
      </c>
      <c r="J18" s="24">
        <f>0</f>
        <v>0</v>
      </c>
      <c r="K18" s="32">
        <f t="shared" si="0"/>
        <v>0.17345787459560974</v>
      </c>
      <c r="L18" s="32">
        <f t="shared" si="1"/>
        <v>52.90731714548562</v>
      </c>
      <c r="M18" s="32">
        <f t="shared" si="2"/>
        <v>0.3544263983000524</v>
      </c>
    </row>
    <row r="19" spans="2:13" ht="32.25" customHeight="1">
      <c r="B19" s="21" t="s">
        <v>32</v>
      </c>
      <c r="C19" s="23">
        <f>149876140.12</f>
        <v>149876140.12</v>
      </c>
      <c r="D19" s="23">
        <f>60893279.85</f>
        <v>60893279.85</v>
      </c>
      <c r="E19" s="23">
        <f>60869313.95</f>
        <v>60869313.95</v>
      </c>
      <c r="F19" s="23">
        <f>929371.28</f>
        <v>929371.28</v>
      </c>
      <c r="G19" s="23">
        <f>25537.04</f>
        <v>25537.04</v>
      </c>
      <c r="H19" s="23">
        <f>23464.39</f>
        <v>23464.39</v>
      </c>
      <c r="I19" s="23">
        <f>10544.89</f>
        <v>10544.89</v>
      </c>
      <c r="J19" s="24">
        <f>0</f>
        <v>0</v>
      </c>
      <c r="K19" s="32">
        <f t="shared" si="0"/>
        <v>0.048435035948000874</v>
      </c>
      <c r="L19" s="32">
        <f t="shared" si="1"/>
        <v>40.6290686437782</v>
      </c>
      <c r="M19" s="32">
        <f t="shared" si="2"/>
        <v>0.09896728749043489</v>
      </c>
    </row>
    <row r="20" spans="2:13" ht="32.25" customHeight="1">
      <c r="B20" s="21" t="s">
        <v>24</v>
      </c>
      <c r="C20" s="23">
        <f>8818013868.15</f>
        <v>8818013868.15</v>
      </c>
      <c r="D20" s="23">
        <f>3629856297.77</f>
        <v>3629856297.77</v>
      </c>
      <c r="E20" s="23">
        <f>3627032205.01</f>
        <v>3627032205.01</v>
      </c>
      <c r="F20" s="23">
        <f>0</f>
        <v>0</v>
      </c>
      <c r="G20" s="23">
        <f>160.73</f>
        <v>160.73</v>
      </c>
      <c r="H20" s="23">
        <f>0</f>
        <v>0</v>
      </c>
      <c r="I20" s="23">
        <f>156011.8</f>
        <v>156011.8</v>
      </c>
      <c r="J20" s="24">
        <f>80110</f>
        <v>80110</v>
      </c>
      <c r="K20" s="32">
        <f t="shared" si="0"/>
        <v>2.8872187653818306</v>
      </c>
      <c r="L20" s="32">
        <f t="shared" si="1"/>
        <v>41.164102847249616</v>
      </c>
      <c r="M20" s="32">
        <f t="shared" si="2"/>
        <v>5.899452823945223</v>
      </c>
    </row>
    <row r="21" spans="2:13" ht="32.25" customHeight="1">
      <c r="B21" s="21" t="s">
        <v>25</v>
      </c>
      <c r="C21" s="23">
        <f>C7-C8-C9-C10-C11-C12-C13-C14-C15-C16-C17-C18-C19-C20</f>
        <v>25888775344.39998</v>
      </c>
      <c r="D21" s="23">
        <f aca="true" t="shared" si="3" ref="D21:J21">D7-D8-D9-D10-D11-D12-D13-D14-D15-D16-D17-D18-D19-D20</f>
        <v>13981656637.600006</v>
      </c>
      <c r="E21" s="23">
        <f t="shared" si="3"/>
        <v>13961244616.329996</v>
      </c>
      <c r="F21" s="23">
        <f t="shared" si="3"/>
        <v>7802681.190000088</v>
      </c>
      <c r="G21" s="23">
        <f t="shared" si="3"/>
        <v>2143547.6700000623</v>
      </c>
      <c r="H21" s="23">
        <f t="shared" si="3"/>
        <v>8736153.65</v>
      </c>
      <c r="I21" s="23">
        <f t="shared" si="3"/>
        <v>12013971.589999994</v>
      </c>
      <c r="J21" s="24">
        <f t="shared" si="3"/>
        <v>50304.42999999998</v>
      </c>
      <c r="K21" s="32">
        <f t="shared" si="0"/>
        <v>11.121129351595622</v>
      </c>
      <c r="L21" s="32">
        <f t="shared" si="1"/>
        <v>54.00663589374608</v>
      </c>
      <c r="M21" s="32">
        <f t="shared" si="2"/>
        <v>22.723798676216436</v>
      </c>
    </row>
    <row r="22" spans="2:13" ht="36.75" customHeight="1">
      <c r="B22" s="68" t="s">
        <v>73</v>
      </c>
      <c r="C22" s="69">
        <f>C23+C36+C38</f>
        <v>79471001517.88</v>
      </c>
      <c r="D22" s="69">
        <f>D23+D36+D38</f>
        <v>31209321054.09</v>
      </c>
      <c r="E22" s="69">
        <f>E23+E36+E38</f>
        <v>31013471755</v>
      </c>
      <c r="F22" s="72" t="s">
        <v>64</v>
      </c>
      <c r="G22" s="72" t="s">
        <v>64</v>
      </c>
      <c r="H22" s="72" t="s">
        <v>64</v>
      </c>
      <c r="I22" s="72" t="s">
        <v>64</v>
      </c>
      <c r="J22" s="72" t="s">
        <v>64</v>
      </c>
      <c r="K22" s="70">
        <f t="shared" si="0"/>
        <v>24.82416107148726</v>
      </c>
      <c r="L22" s="70">
        <f t="shared" si="1"/>
        <v>39.271332257047604</v>
      </c>
      <c r="M22" s="73"/>
    </row>
    <row r="23" spans="2:13" ht="36.75" customHeight="1">
      <c r="B23" s="68" t="s">
        <v>66</v>
      </c>
      <c r="C23" s="69">
        <f>C24+C26+C28+C30+C32+C34</f>
        <v>52018946100.44001</v>
      </c>
      <c r="D23" s="69">
        <f>D24+D26+D28+D30+D32+D34</f>
        <v>25540006999.52</v>
      </c>
      <c r="E23" s="69">
        <f>E24+E26+E28+E30+E32+E34</f>
        <v>25414695410.29</v>
      </c>
      <c r="F23" s="72" t="s">
        <v>64</v>
      </c>
      <c r="G23" s="72" t="s">
        <v>64</v>
      </c>
      <c r="H23" s="72" t="s">
        <v>64</v>
      </c>
      <c r="I23" s="72" t="s">
        <v>64</v>
      </c>
      <c r="J23" s="72" t="s">
        <v>64</v>
      </c>
      <c r="K23" s="70">
        <f t="shared" si="0"/>
        <v>20.314740151641626</v>
      </c>
      <c r="L23" s="70">
        <f t="shared" si="1"/>
        <v>49.09750949241928</v>
      </c>
      <c r="M23" s="73"/>
    </row>
    <row r="24" spans="2:13" ht="33.75" customHeight="1">
      <c r="B24" s="71" t="s">
        <v>9</v>
      </c>
      <c r="C24" s="24">
        <f>40964097124.78</f>
        <v>40964097124.78</v>
      </c>
      <c r="D24" s="24">
        <f>21615906616.76</f>
        <v>21615906616.76</v>
      </c>
      <c r="E24" s="24">
        <f>21495747107.95</f>
        <v>21495747107.95</v>
      </c>
      <c r="F24" s="24" t="s">
        <v>64</v>
      </c>
      <c r="G24" s="24" t="s">
        <v>64</v>
      </c>
      <c r="H24" s="24" t="s">
        <v>64</v>
      </c>
      <c r="I24" s="24" t="s">
        <v>64</v>
      </c>
      <c r="J24" s="24" t="s">
        <v>64</v>
      </c>
      <c r="K24" s="32">
        <f t="shared" si="0"/>
        <v>17.193477122769902</v>
      </c>
      <c r="L24" s="32">
        <f t="shared" si="1"/>
        <v>52.767931271415975</v>
      </c>
      <c r="M24" s="28"/>
    </row>
    <row r="25" spans="2:13" ht="21" customHeight="1">
      <c r="B25" s="74" t="s">
        <v>6</v>
      </c>
      <c r="C25" s="24">
        <f>100078067.04</f>
        <v>100078067.04</v>
      </c>
      <c r="D25" s="24">
        <f>7955782.4</f>
        <v>7955782.4</v>
      </c>
      <c r="E25" s="24">
        <f>7950699.95</f>
        <v>7950699.95</v>
      </c>
      <c r="F25" s="24" t="s">
        <v>64</v>
      </c>
      <c r="G25" s="24" t="s">
        <v>64</v>
      </c>
      <c r="H25" s="24" t="s">
        <v>64</v>
      </c>
      <c r="I25" s="24" t="s">
        <v>64</v>
      </c>
      <c r="J25" s="24" t="s">
        <v>64</v>
      </c>
      <c r="K25" s="32">
        <f t="shared" si="0"/>
        <v>0.00632809741054657</v>
      </c>
      <c r="L25" s="32">
        <f t="shared" si="1"/>
        <v>7.949576401011192</v>
      </c>
      <c r="M25" s="28"/>
    </row>
    <row r="26" spans="2:13" ht="33.75" customHeight="1">
      <c r="B26" s="71" t="s">
        <v>7</v>
      </c>
      <c r="C26" s="24">
        <f>7395351687.82</f>
        <v>7395351687.82</v>
      </c>
      <c r="D26" s="24">
        <f>2797411293.81</f>
        <v>2797411293.81</v>
      </c>
      <c r="E26" s="24">
        <f>2793243920.37</f>
        <v>2793243920.37</v>
      </c>
      <c r="F26" s="24" t="s">
        <v>64</v>
      </c>
      <c r="G26" s="24" t="s">
        <v>64</v>
      </c>
      <c r="H26" s="24" t="s">
        <v>64</v>
      </c>
      <c r="I26" s="24" t="s">
        <v>64</v>
      </c>
      <c r="J26" s="24" t="s">
        <v>64</v>
      </c>
      <c r="K26" s="32">
        <f t="shared" si="0"/>
        <v>2.225084884749084</v>
      </c>
      <c r="L26" s="32">
        <f t="shared" si="1"/>
        <v>37.826616121817196</v>
      </c>
      <c r="M26" s="28"/>
    </row>
    <row r="27" spans="2:13" ht="21" customHeight="1">
      <c r="B27" s="74" t="s">
        <v>6</v>
      </c>
      <c r="C27" s="24">
        <f>2133750775.82</f>
        <v>2133750775.82</v>
      </c>
      <c r="D27" s="24">
        <f>72255594.41</f>
        <v>72255594.41</v>
      </c>
      <c r="E27" s="24">
        <f>72249477.62</f>
        <v>72249477.62</v>
      </c>
      <c r="F27" s="24" t="s">
        <v>64</v>
      </c>
      <c r="G27" s="24" t="s">
        <v>64</v>
      </c>
      <c r="H27" s="24" t="s">
        <v>64</v>
      </c>
      <c r="I27" s="24" t="s">
        <v>64</v>
      </c>
      <c r="J27" s="24" t="s">
        <v>64</v>
      </c>
      <c r="K27" s="32">
        <f t="shared" si="0"/>
        <v>0.05747271819342674</v>
      </c>
      <c r="L27" s="32">
        <f t="shared" si="1"/>
        <v>3.3863183661752716</v>
      </c>
      <c r="M27" s="28"/>
    </row>
    <row r="28" spans="2:13" ht="39.75" customHeight="1">
      <c r="B28" s="71" t="s">
        <v>10</v>
      </c>
      <c r="C28" s="24">
        <f>92068064.98</f>
        <v>92068064.98</v>
      </c>
      <c r="D28" s="24">
        <f>61680758.2</f>
        <v>61680758.2</v>
      </c>
      <c r="E28" s="24">
        <f>61355565.82</f>
        <v>61355565.82</v>
      </c>
      <c r="F28" s="24" t="s">
        <v>64</v>
      </c>
      <c r="G28" s="24" t="s">
        <v>64</v>
      </c>
      <c r="H28" s="24" t="s">
        <v>64</v>
      </c>
      <c r="I28" s="24" t="s">
        <v>64</v>
      </c>
      <c r="J28" s="24" t="s">
        <v>64</v>
      </c>
      <c r="K28" s="32">
        <f t="shared" si="0"/>
        <v>0.049061402967226594</v>
      </c>
      <c r="L28" s="32">
        <f t="shared" si="1"/>
        <v>66.9947372233781</v>
      </c>
      <c r="M28" s="28"/>
    </row>
    <row r="29" spans="2:13" ht="21" customHeight="1">
      <c r="B29" s="74" t="s">
        <v>6</v>
      </c>
      <c r="C29" s="24">
        <f>12845993</f>
        <v>12845993</v>
      </c>
      <c r="D29" s="24">
        <f>473926.15</f>
        <v>473926.15</v>
      </c>
      <c r="E29" s="24">
        <f>468456.15</f>
        <v>468456.15</v>
      </c>
      <c r="F29" s="24" t="s">
        <v>64</v>
      </c>
      <c r="G29" s="24" t="s">
        <v>64</v>
      </c>
      <c r="H29" s="24" t="s">
        <v>64</v>
      </c>
      <c r="I29" s="24" t="s">
        <v>64</v>
      </c>
      <c r="J29" s="24" t="s">
        <v>64</v>
      </c>
      <c r="K29" s="32">
        <f t="shared" si="0"/>
        <v>0.0003769649158083189</v>
      </c>
      <c r="L29" s="32">
        <f t="shared" si="1"/>
        <v>3.6892916725083067</v>
      </c>
      <c r="M29" s="28"/>
    </row>
    <row r="30" spans="2:13" ht="39.75" customHeight="1">
      <c r="B30" s="71" t="s">
        <v>11</v>
      </c>
      <c r="C30" s="24">
        <f>1468529122.51</f>
        <v>1468529122.51</v>
      </c>
      <c r="D30" s="24">
        <f>569201775.05</f>
        <v>569201775.05</v>
      </c>
      <c r="E30" s="24">
        <f>568881142.33</f>
        <v>568881142.33</v>
      </c>
      <c r="F30" s="24" t="s">
        <v>64</v>
      </c>
      <c r="G30" s="24" t="s">
        <v>64</v>
      </c>
      <c r="H30" s="24" t="s">
        <v>64</v>
      </c>
      <c r="I30" s="24" t="s">
        <v>64</v>
      </c>
      <c r="J30" s="24" t="s">
        <v>64</v>
      </c>
      <c r="K30" s="32">
        <f t="shared" si="0"/>
        <v>0.4527479633898001</v>
      </c>
      <c r="L30" s="32">
        <f t="shared" si="1"/>
        <v>38.759992316469976</v>
      </c>
      <c r="M30" s="28"/>
    </row>
    <row r="31" spans="2:13" ht="21" customHeight="1">
      <c r="B31" s="74" t="s">
        <v>6</v>
      </c>
      <c r="C31" s="24">
        <f>474421983.15</f>
        <v>474421983.15</v>
      </c>
      <c r="D31" s="24">
        <f>84916167.72</f>
        <v>84916167.72</v>
      </c>
      <c r="E31" s="24">
        <f>84984277.22</f>
        <v>84984277.22</v>
      </c>
      <c r="F31" s="24" t="s">
        <v>64</v>
      </c>
      <c r="G31" s="24" t="s">
        <v>64</v>
      </c>
      <c r="H31" s="24" t="s">
        <v>64</v>
      </c>
      <c r="I31" s="24" t="s">
        <v>64</v>
      </c>
      <c r="J31" s="24" t="s">
        <v>64</v>
      </c>
      <c r="K31" s="32">
        <f t="shared" si="0"/>
        <v>0.06754304655975385</v>
      </c>
      <c r="L31" s="32">
        <f t="shared" si="1"/>
        <v>17.898868673029366</v>
      </c>
      <c r="M31" s="28"/>
    </row>
    <row r="32" spans="2:13" ht="39.75" customHeight="1">
      <c r="B32" s="71" t="s">
        <v>85</v>
      </c>
      <c r="C32" s="24">
        <f>1494463532.66</f>
        <v>1494463532.66</v>
      </c>
      <c r="D32" s="24">
        <f>334124689.11</f>
        <v>334124689.11</v>
      </c>
      <c r="E32" s="24">
        <f>333879447.25</f>
        <v>333879447.25</v>
      </c>
      <c r="F32" s="24" t="s">
        <v>64</v>
      </c>
      <c r="G32" s="24" t="s">
        <v>64</v>
      </c>
      <c r="H32" s="24" t="s">
        <v>64</v>
      </c>
      <c r="I32" s="24" t="s">
        <v>64</v>
      </c>
      <c r="J32" s="24" t="s">
        <v>64</v>
      </c>
      <c r="K32" s="32">
        <f t="shared" si="0"/>
        <v>0.26576563732520747</v>
      </c>
      <c r="L32" s="32">
        <f t="shared" si="1"/>
        <v>22.357500320887087</v>
      </c>
      <c r="M32" s="28"/>
    </row>
    <row r="33" spans="2:13" ht="24" customHeight="1">
      <c r="B33" s="74" t="s">
        <v>6</v>
      </c>
      <c r="C33" s="24">
        <f>1324378253.4</f>
        <v>1324378253.4</v>
      </c>
      <c r="D33" s="24">
        <f>266578915.25</f>
        <v>266578915.25</v>
      </c>
      <c r="E33" s="24">
        <f>266407915.25</f>
        <v>266407915.25</v>
      </c>
      <c r="F33" s="24" t="s">
        <v>64</v>
      </c>
      <c r="G33" s="24" t="s">
        <v>64</v>
      </c>
      <c r="H33" s="24" t="s">
        <v>64</v>
      </c>
      <c r="I33" s="24" t="s">
        <v>64</v>
      </c>
      <c r="J33" s="24" t="s">
        <v>64</v>
      </c>
      <c r="K33" s="32">
        <f t="shared" si="0"/>
        <v>0.21203915070626347</v>
      </c>
      <c r="L33" s="32">
        <f t="shared" si="1"/>
        <v>20.12860861809134</v>
      </c>
      <c r="M33" s="28"/>
    </row>
    <row r="34" spans="2:13" ht="22.5" customHeight="1">
      <c r="B34" s="71" t="s">
        <v>8</v>
      </c>
      <c r="C34" s="24">
        <f>604436567.69</f>
        <v>604436567.69</v>
      </c>
      <c r="D34" s="24">
        <f>161681866.59</f>
        <v>161681866.59</v>
      </c>
      <c r="E34" s="24">
        <f>161588226.57</f>
        <v>161588226.57</v>
      </c>
      <c r="F34" s="24" t="s">
        <v>64</v>
      </c>
      <c r="G34" s="24" t="s">
        <v>64</v>
      </c>
      <c r="H34" s="24" t="s">
        <v>64</v>
      </c>
      <c r="I34" s="24" t="s">
        <v>64</v>
      </c>
      <c r="J34" s="24" t="s">
        <v>64</v>
      </c>
      <c r="K34" s="32">
        <f t="shared" si="0"/>
        <v>0.1286031404404066</v>
      </c>
      <c r="L34" s="32">
        <f t="shared" si="1"/>
        <v>26.749186801835336</v>
      </c>
      <c r="M34" s="28"/>
    </row>
    <row r="35" spans="2:13" ht="21" customHeight="1">
      <c r="B35" s="74" t="s">
        <v>6</v>
      </c>
      <c r="C35" s="24">
        <f>463184248.08</f>
        <v>463184248.08</v>
      </c>
      <c r="D35" s="24">
        <f>70103358.95</f>
        <v>70103358.95</v>
      </c>
      <c r="E35" s="24">
        <f>70131378.95</f>
        <v>70131378.95</v>
      </c>
      <c r="F35" s="24" t="s">
        <v>64</v>
      </c>
      <c r="G35" s="24" t="s">
        <v>64</v>
      </c>
      <c r="H35" s="24" t="s">
        <v>64</v>
      </c>
      <c r="I35" s="24" t="s">
        <v>64</v>
      </c>
      <c r="J35" s="24" t="s">
        <v>64</v>
      </c>
      <c r="K35" s="32">
        <f t="shared" si="0"/>
        <v>0.055760811688629355</v>
      </c>
      <c r="L35" s="32">
        <f t="shared" si="1"/>
        <v>15.13509132501672</v>
      </c>
      <c r="M35" s="28"/>
    </row>
    <row r="36" spans="2:13" ht="25.5" customHeight="1">
      <c r="B36" s="68" t="s">
        <v>75</v>
      </c>
      <c r="C36" s="69">
        <f>3966665369.19</f>
        <v>3966665369.19</v>
      </c>
      <c r="D36" s="69">
        <f>844279309.44</f>
        <v>844279309.44</v>
      </c>
      <c r="E36" s="69">
        <f>835904311.8</f>
        <v>835904311.8</v>
      </c>
      <c r="F36" s="72" t="s">
        <v>64</v>
      </c>
      <c r="G36" s="72" t="s">
        <v>64</v>
      </c>
      <c r="H36" s="72" t="s">
        <v>64</v>
      </c>
      <c r="I36" s="72" t="s">
        <v>64</v>
      </c>
      <c r="J36" s="72" t="s">
        <v>64</v>
      </c>
      <c r="K36" s="70">
        <f t="shared" si="0"/>
        <v>0.671546988495476</v>
      </c>
      <c r="L36" s="70">
        <f t="shared" si="1"/>
        <v>21.28435930083014</v>
      </c>
      <c r="M36" s="28"/>
    </row>
    <row r="37" spans="2:13" ht="19.5" customHeight="1">
      <c r="B37" s="29" t="s">
        <v>76</v>
      </c>
      <c r="C37" s="23">
        <f>2904517201.26</f>
        <v>2904517201.26</v>
      </c>
      <c r="D37" s="23">
        <f>358631545.71</f>
        <v>358631545.71</v>
      </c>
      <c r="E37" s="23">
        <f>358337034.88</f>
        <v>358337034.88</v>
      </c>
      <c r="F37" s="23" t="s">
        <v>64</v>
      </c>
      <c r="G37" s="23" t="s">
        <v>64</v>
      </c>
      <c r="H37" s="23" t="s">
        <v>64</v>
      </c>
      <c r="I37" s="23" t="s">
        <v>64</v>
      </c>
      <c r="J37" s="23" t="s">
        <v>64</v>
      </c>
      <c r="K37" s="32">
        <f t="shared" si="0"/>
        <v>0.2852586008068502</v>
      </c>
      <c r="L37" s="32">
        <f t="shared" si="1"/>
        <v>12.3473720711457</v>
      </c>
      <c r="M37" s="28"/>
    </row>
    <row r="38" spans="2:13" ht="25.5" customHeight="1">
      <c r="B38" s="68" t="s">
        <v>100</v>
      </c>
      <c r="C38" s="69">
        <f>23485390048.25</f>
        <v>23485390048.25</v>
      </c>
      <c r="D38" s="69">
        <f>4825034745.13</f>
        <v>4825034745.13</v>
      </c>
      <c r="E38" s="69">
        <f>4762872032.91</f>
        <v>4762872032.91</v>
      </c>
      <c r="F38" s="72" t="s">
        <v>64</v>
      </c>
      <c r="G38" s="72" t="s">
        <v>64</v>
      </c>
      <c r="H38" s="72" t="s">
        <v>64</v>
      </c>
      <c r="I38" s="72" t="s">
        <v>64</v>
      </c>
      <c r="J38" s="72" t="s">
        <v>64</v>
      </c>
      <c r="K38" s="70">
        <f t="shared" si="0"/>
        <v>3.8378739313501566</v>
      </c>
      <c r="L38" s="70">
        <f t="shared" si="1"/>
        <v>20.544835470976285</v>
      </c>
      <c r="M38" s="28"/>
    </row>
    <row r="39" spans="2:13" ht="21" customHeight="1">
      <c r="B39" s="29" t="s">
        <v>101</v>
      </c>
      <c r="C39" s="23">
        <f>20204368824.19</f>
        <v>20204368824.19</v>
      </c>
      <c r="D39" s="23">
        <f>3497190521.35</f>
        <v>3497190521.35</v>
      </c>
      <c r="E39" s="23">
        <f>3458898231.81</f>
        <v>3458898231.81</v>
      </c>
      <c r="F39" s="23" t="s">
        <v>64</v>
      </c>
      <c r="G39" s="23" t="s">
        <v>64</v>
      </c>
      <c r="H39" s="23" t="s">
        <v>64</v>
      </c>
      <c r="I39" s="23" t="s">
        <v>64</v>
      </c>
      <c r="J39" s="23" t="s">
        <v>64</v>
      </c>
      <c r="K39" s="32">
        <f t="shared" si="0"/>
        <v>2.7816952713969334</v>
      </c>
      <c r="L39" s="32">
        <f t="shared" si="1"/>
        <v>17.309080782384715</v>
      </c>
      <c r="M39" s="28"/>
    </row>
    <row r="40" spans="2:13" ht="35.25" customHeight="1">
      <c r="B40" s="68" t="s">
        <v>67</v>
      </c>
      <c r="C40" s="69">
        <f>C41+C42+C43+C44+C45+C46</f>
        <v>56003111512.57</v>
      </c>
      <c r="D40" s="69">
        <f>D41+D42+D43+D44+D45+D46</f>
        <v>32983538522</v>
      </c>
      <c r="E40" s="69">
        <f>E41+E42+E43+E44+E45+E46</f>
        <v>29805368300.79</v>
      </c>
      <c r="F40" s="72" t="s">
        <v>64</v>
      </c>
      <c r="G40" s="72" t="s">
        <v>64</v>
      </c>
      <c r="H40" s="72" t="s">
        <v>64</v>
      </c>
      <c r="I40" s="72" t="s">
        <v>64</v>
      </c>
      <c r="J40" s="72" t="s">
        <v>64</v>
      </c>
      <c r="K40" s="70">
        <f t="shared" si="0"/>
        <v>26.23538883010818</v>
      </c>
      <c r="L40" s="70">
        <f t="shared" si="1"/>
        <v>58.89590351528376</v>
      </c>
      <c r="M40" s="28"/>
    </row>
    <row r="41" spans="2:13" ht="26.25" customHeight="1">
      <c r="B41" s="21" t="s">
        <v>50</v>
      </c>
      <c r="C41" s="23">
        <f>10708056783</f>
        <v>10708056783</v>
      </c>
      <c r="D41" s="23">
        <f>5354244128</f>
        <v>5354244128</v>
      </c>
      <c r="E41" s="23">
        <f>5354244128</f>
        <v>5354244128</v>
      </c>
      <c r="F41" s="23" t="s">
        <v>64</v>
      </c>
      <c r="G41" s="23" t="s">
        <v>64</v>
      </c>
      <c r="H41" s="23" t="s">
        <v>64</v>
      </c>
      <c r="I41" s="23" t="s">
        <v>64</v>
      </c>
      <c r="J41" s="23" t="s">
        <v>64</v>
      </c>
      <c r="K41" s="32">
        <f t="shared" si="0"/>
        <v>4.258811603724981</v>
      </c>
      <c r="L41" s="32">
        <f t="shared" si="1"/>
        <v>50.00201471195355</v>
      </c>
      <c r="M41" s="28"/>
    </row>
    <row r="42" spans="2:13" ht="26.25" customHeight="1">
      <c r="B42" s="21" t="s">
        <v>49</v>
      </c>
      <c r="C42" s="23">
        <f>42912776444.57</f>
        <v>42912776444.57</v>
      </c>
      <c r="D42" s="23">
        <f>26398454136</f>
        <v>26398454136</v>
      </c>
      <c r="E42" s="23">
        <f>23220283374.79</f>
        <v>23220283374.79</v>
      </c>
      <c r="F42" s="23" t="s">
        <v>64</v>
      </c>
      <c r="G42" s="23" t="s">
        <v>64</v>
      </c>
      <c r="H42" s="23" t="s">
        <v>64</v>
      </c>
      <c r="I42" s="23" t="s">
        <v>64</v>
      </c>
      <c r="J42" s="23" t="s">
        <v>64</v>
      </c>
      <c r="K42" s="32">
        <f t="shared" si="0"/>
        <v>20.99755635102011</v>
      </c>
      <c r="L42" s="32">
        <f t="shared" si="1"/>
        <v>61.51653731866689</v>
      </c>
      <c r="M42" s="28"/>
    </row>
    <row r="43" spans="2:13" ht="26.25" customHeight="1">
      <c r="B43" s="21" t="s">
        <v>48</v>
      </c>
      <c r="C43" s="23">
        <f>1563829</f>
        <v>1563829</v>
      </c>
      <c r="D43" s="23">
        <f>0</f>
        <v>0</v>
      </c>
      <c r="E43" s="23">
        <f>0</f>
        <v>0</v>
      </c>
      <c r="F43" s="23" t="s">
        <v>64</v>
      </c>
      <c r="G43" s="23" t="s">
        <v>64</v>
      </c>
      <c r="H43" s="23" t="s">
        <v>64</v>
      </c>
      <c r="I43" s="23" t="s">
        <v>64</v>
      </c>
      <c r="J43" s="23" t="s">
        <v>64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1720955599</f>
        <v>1720955599</v>
      </c>
      <c r="D44" s="23">
        <f>860481426</f>
        <v>860481426</v>
      </c>
      <c r="E44" s="23">
        <f>860481966</f>
        <v>860481966</v>
      </c>
      <c r="F44" s="23" t="s">
        <v>64</v>
      </c>
      <c r="G44" s="23" t="s">
        <v>64</v>
      </c>
      <c r="H44" s="23" t="s">
        <v>64</v>
      </c>
      <c r="I44" s="23" t="s">
        <v>64</v>
      </c>
      <c r="J44" s="23" t="s">
        <v>64</v>
      </c>
      <c r="K44" s="32">
        <f t="shared" si="0"/>
        <v>0.6844342906731612</v>
      </c>
      <c r="L44" s="32">
        <f t="shared" si="1"/>
        <v>50.00021072594796</v>
      </c>
      <c r="M44" s="28"/>
    </row>
    <row r="45" spans="2:13" ht="26.25" customHeight="1">
      <c r="B45" s="21" t="s">
        <v>63</v>
      </c>
      <c r="C45" s="23">
        <f>338717657</f>
        <v>338717657</v>
      </c>
      <c r="D45" s="23">
        <f>169358832</f>
        <v>169358832</v>
      </c>
      <c r="E45" s="23">
        <f>169358832</f>
        <v>169358832</v>
      </c>
      <c r="F45" s="23" t="s">
        <v>64</v>
      </c>
      <c r="G45" s="23" t="s">
        <v>64</v>
      </c>
      <c r="H45" s="23" t="s">
        <v>64</v>
      </c>
      <c r="I45" s="23" t="s">
        <v>64</v>
      </c>
      <c r="J45" s="23" t="s">
        <v>64</v>
      </c>
      <c r="K45" s="32">
        <f t="shared" si="0"/>
        <v>0.13470946443085116</v>
      </c>
      <c r="L45" s="32">
        <f t="shared" si="1"/>
        <v>50.00000103330899</v>
      </c>
      <c r="M45" s="28"/>
    </row>
    <row r="46" spans="2:13" ht="26.25" customHeight="1">
      <c r="B46" s="21" t="s">
        <v>45</v>
      </c>
      <c r="C46" s="23">
        <f>321041200</f>
        <v>321041200</v>
      </c>
      <c r="D46" s="23">
        <f>201000000</f>
        <v>201000000</v>
      </c>
      <c r="E46" s="23">
        <f>201000000</f>
        <v>201000000</v>
      </c>
      <c r="F46" s="23" t="s">
        <v>64</v>
      </c>
      <c r="G46" s="23" t="s">
        <v>64</v>
      </c>
      <c r="H46" s="23" t="s">
        <v>64</v>
      </c>
      <c r="I46" s="23" t="s">
        <v>64</v>
      </c>
      <c r="J46" s="23" t="s">
        <v>64</v>
      </c>
      <c r="K46" s="32">
        <f t="shared" si="0"/>
        <v>0.15987712025907855</v>
      </c>
      <c r="L46" s="32">
        <f t="shared" si="1"/>
        <v>62.60878666040371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255452091385.34</v>
      </c>
      <c r="D48" s="76">
        <f t="shared" si="4"/>
        <v>125721553949.86</v>
      </c>
      <c r="E48" s="76">
        <f t="shared" si="4"/>
        <v>120045232383.6</v>
      </c>
      <c r="F48" s="76">
        <f t="shared" si="4"/>
        <v>1639982491.2</v>
      </c>
      <c r="G48" s="76">
        <f t="shared" si="4"/>
        <v>378771274.22</v>
      </c>
      <c r="H48" s="76">
        <f t="shared" si="4"/>
        <v>53731759.76</v>
      </c>
      <c r="I48" s="76">
        <f t="shared" si="4"/>
        <v>162713870.47</v>
      </c>
      <c r="J48" s="76">
        <f t="shared" si="4"/>
        <v>643498.08</v>
      </c>
      <c r="K48" s="77">
        <f>IF($D$48=0,"",100*$D48/$D$48)</f>
        <v>100</v>
      </c>
      <c r="L48" s="77">
        <f t="shared" si="1"/>
        <v>49.21531597884384</v>
      </c>
      <c r="M48" s="4"/>
    </row>
    <row r="49" spans="1:13" s="6" customFormat="1" ht="24.75" customHeight="1">
      <c r="A49" s="3"/>
      <c r="B49" s="66" t="s">
        <v>79</v>
      </c>
      <c r="C49" s="67">
        <f>35124572841.48</f>
        <v>35124572841.48</v>
      </c>
      <c r="D49" s="67">
        <f>6901127791.52</f>
        <v>6901127791.52</v>
      </c>
      <c r="E49" s="67">
        <f>6860574235.9</f>
        <v>6860574235.9</v>
      </c>
      <c r="F49" s="67">
        <f>0</f>
        <v>0</v>
      </c>
      <c r="G49" s="67">
        <f>160.73</f>
        <v>160.73</v>
      </c>
      <c r="H49" s="67">
        <f>0</f>
        <v>0</v>
      </c>
      <c r="I49" s="67">
        <f>156011.8</f>
        <v>156011.8</v>
      </c>
      <c r="J49" s="67">
        <f>80110</f>
        <v>80110</v>
      </c>
      <c r="K49" s="33">
        <f>IF($D$48=0,"",100*$D49/$D$48)</f>
        <v>5.489216108697076</v>
      </c>
      <c r="L49" s="33">
        <f t="shared" si="1"/>
        <v>19.64757784433519</v>
      </c>
      <c r="M49" s="4"/>
    </row>
    <row r="50" spans="1:13" s="6" customFormat="1" ht="24.75" customHeight="1">
      <c r="A50" s="3"/>
      <c r="B50" s="66" t="s">
        <v>80</v>
      </c>
      <c r="C50" s="67">
        <f>+C48-C49</f>
        <v>220327518543.86</v>
      </c>
      <c r="D50" s="67">
        <f aca="true" t="shared" si="5" ref="D50:J50">+D48-D49</f>
        <v>118820426158.34</v>
      </c>
      <c r="E50" s="67">
        <f t="shared" si="5"/>
        <v>113184658147.70001</v>
      </c>
      <c r="F50" s="67">
        <f t="shared" si="5"/>
        <v>1639982491.2</v>
      </c>
      <c r="G50" s="67">
        <f t="shared" si="5"/>
        <v>378771113.49</v>
      </c>
      <c r="H50" s="67">
        <f t="shared" si="5"/>
        <v>53731759.76</v>
      </c>
      <c r="I50" s="67">
        <f t="shared" si="5"/>
        <v>162557858.67</v>
      </c>
      <c r="J50" s="67">
        <f t="shared" si="5"/>
        <v>563388.08</v>
      </c>
      <c r="K50" s="33">
        <f>IF($D$48=0,"",100*$D50/$D$48)</f>
        <v>94.51078389130292</v>
      </c>
      <c r="L50" s="33">
        <f t="shared" si="1"/>
        <v>53.928999402172614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115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104" t="s">
        <v>0</v>
      </c>
      <c r="C54" s="103" t="s">
        <v>59</v>
      </c>
      <c r="D54" s="103" t="s">
        <v>60</v>
      </c>
      <c r="E54" s="103" t="s">
        <v>61</v>
      </c>
      <c r="F54" s="103" t="s">
        <v>12</v>
      </c>
      <c r="G54" s="103"/>
      <c r="H54" s="103"/>
      <c r="I54" s="103" t="s">
        <v>102</v>
      </c>
      <c r="J54" s="103"/>
      <c r="K54" s="103" t="s">
        <v>2</v>
      </c>
      <c r="L54" s="109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104"/>
      <c r="C55" s="103"/>
      <c r="D55" s="107"/>
      <c r="E55" s="103"/>
      <c r="F55" s="94" t="s">
        <v>62</v>
      </c>
      <c r="G55" s="108" t="s">
        <v>34</v>
      </c>
      <c r="H55" s="107"/>
      <c r="I55" s="103"/>
      <c r="J55" s="103"/>
      <c r="K55" s="103"/>
      <c r="L55" s="109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104"/>
      <c r="C56" s="103"/>
      <c r="D56" s="107"/>
      <c r="E56" s="103"/>
      <c r="F56" s="107"/>
      <c r="G56" s="18" t="s">
        <v>57</v>
      </c>
      <c r="H56" s="18" t="s">
        <v>58</v>
      </c>
      <c r="I56" s="103"/>
      <c r="J56" s="103"/>
      <c r="K56" s="103"/>
      <c r="L56" s="109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104"/>
      <c r="C57" s="101" t="s">
        <v>84</v>
      </c>
      <c r="D57" s="101"/>
      <c r="E57" s="101"/>
      <c r="F57" s="101"/>
      <c r="G57" s="101"/>
      <c r="H57" s="101"/>
      <c r="I57" s="101"/>
      <c r="J57" s="101"/>
      <c r="K57" s="101" t="s">
        <v>4</v>
      </c>
      <c r="L57" s="10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7">
        <v>8</v>
      </c>
      <c r="J58" s="107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68</v>
      </c>
      <c r="C59" s="76">
        <f>281948560365.7</f>
        <v>281948560365.7</v>
      </c>
      <c r="D59" s="76">
        <f>201265619474.03</f>
        <v>201265619474.03</v>
      </c>
      <c r="E59" s="76">
        <f>112331001626.73</f>
        <v>112331001626.73</v>
      </c>
      <c r="F59" s="76">
        <f>6718195697.38</f>
        <v>6718195697.38</v>
      </c>
      <c r="G59" s="76">
        <f>24636473.37</f>
        <v>24636473.37</v>
      </c>
      <c r="H59" s="76">
        <f>33315474.15</f>
        <v>33315474.15</v>
      </c>
      <c r="I59" s="110">
        <f>0</f>
        <v>0</v>
      </c>
      <c r="J59" s="110"/>
      <c r="K59" s="60">
        <f aca="true" t="shared" si="6" ref="K59:K70">IF($E$59=0,"",100*$E59/$E$59)</f>
        <v>100</v>
      </c>
      <c r="L59" s="60">
        <f aca="true" t="shared" si="7" ref="L59:L70">IF(C59=0,"",100*E59/C59)</f>
        <v>39.84095591090503</v>
      </c>
    </row>
    <row r="60" spans="2:12" ht="24" customHeight="1">
      <c r="B60" s="20" t="s">
        <v>14</v>
      </c>
      <c r="C60" s="26">
        <f>74113646966.92</f>
        <v>74113646966.92</v>
      </c>
      <c r="D60" s="26">
        <f>40115010545.98</f>
        <v>40115010545.98</v>
      </c>
      <c r="E60" s="26">
        <f>12092392560.52</f>
        <v>12092392560.52</v>
      </c>
      <c r="F60" s="26">
        <f>2517240856.48</f>
        <v>2517240856.48</v>
      </c>
      <c r="G60" s="26">
        <f>681683.86</f>
        <v>681683.86</v>
      </c>
      <c r="H60" s="26">
        <f>5220373.45</f>
        <v>5220373.45</v>
      </c>
      <c r="I60" s="111">
        <f>0</f>
        <v>0</v>
      </c>
      <c r="J60" s="112"/>
      <c r="K60" s="34">
        <f t="shared" si="6"/>
        <v>10.764964600513743</v>
      </c>
      <c r="L60" s="34">
        <f t="shared" si="7"/>
        <v>16.31601338673475</v>
      </c>
    </row>
    <row r="61" spans="2:12" ht="22.5" customHeight="1">
      <c r="B61" s="21" t="s">
        <v>13</v>
      </c>
      <c r="C61" s="23">
        <f>72437497424.13</f>
        <v>72437497424.13</v>
      </c>
      <c r="D61" s="23">
        <f>39082356492.69</f>
        <v>39082356492.69</v>
      </c>
      <c r="E61" s="23">
        <f>11207761119.95</f>
        <v>11207761119.95</v>
      </c>
      <c r="F61" s="23">
        <f>2382943146.7</f>
        <v>2382943146.7</v>
      </c>
      <c r="G61" s="23">
        <f>681683.86</f>
        <v>681683.86</v>
      </c>
      <c r="H61" s="23">
        <f>5220373.45</f>
        <v>5220373.45</v>
      </c>
      <c r="I61" s="105">
        <f>0</f>
        <v>0</v>
      </c>
      <c r="J61" s="106"/>
      <c r="K61" s="35">
        <f t="shared" si="6"/>
        <v>9.97744252044756</v>
      </c>
      <c r="L61" s="35">
        <f t="shared" si="7"/>
        <v>15.472319611384764</v>
      </c>
    </row>
    <row r="62" spans="2:12" ht="44.25" customHeight="1">
      <c r="B62" s="68" t="s">
        <v>69</v>
      </c>
      <c r="C62" s="76">
        <f aca="true" t="shared" si="8" ref="C62:I62">C59-C60</f>
        <v>207834913398.78003</v>
      </c>
      <c r="D62" s="76">
        <f t="shared" si="8"/>
        <v>161150608928.05</v>
      </c>
      <c r="E62" s="76">
        <f t="shared" si="8"/>
        <v>100238609066.20999</v>
      </c>
      <c r="F62" s="76">
        <f t="shared" si="8"/>
        <v>4200954840.9</v>
      </c>
      <c r="G62" s="76">
        <f t="shared" si="8"/>
        <v>23954789.51</v>
      </c>
      <c r="H62" s="76">
        <f t="shared" si="8"/>
        <v>28095100.7</v>
      </c>
      <c r="I62" s="110">
        <f t="shared" si="8"/>
        <v>0</v>
      </c>
      <c r="J62" s="110"/>
      <c r="K62" s="60">
        <f t="shared" si="6"/>
        <v>89.23503539948626</v>
      </c>
      <c r="L62" s="60">
        <f t="shared" si="7"/>
        <v>48.229918365004785</v>
      </c>
    </row>
    <row r="63" spans="2:12" ht="22.5" customHeight="1">
      <c r="B63" s="21" t="s">
        <v>56</v>
      </c>
      <c r="C63" s="23">
        <f>68719539137.23</f>
        <v>68719539137.23</v>
      </c>
      <c r="D63" s="23">
        <f>60964717511.91</f>
        <v>60964717511.91</v>
      </c>
      <c r="E63" s="23">
        <f>35360752274.69</f>
        <v>35360752274.69</v>
      </c>
      <c r="F63" s="23">
        <f>1175584165.33</f>
        <v>1175584165.33</v>
      </c>
      <c r="G63" s="23">
        <f>436561.85</f>
        <v>436561.85</v>
      </c>
      <c r="H63" s="23">
        <f>2968459.28</f>
        <v>2968459.28</v>
      </c>
      <c r="I63" s="105">
        <f>0</f>
        <v>0</v>
      </c>
      <c r="J63" s="106"/>
      <c r="K63" s="35">
        <f t="shared" si="6"/>
        <v>31.479067899876757</v>
      </c>
      <c r="L63" s="35">
        <f t="shared" si="7"/>
        <v>51.45662022569168</v>
      </c>
    </row>
    <row r="64" spans="2:12" ht="22.5" customHeight="1">
      <c r="B64" s="21" t="s">
        <v>51</v>
      </c>
      <c r="C64" s="23">
        <f>62186887630.15</f>
        <v>62186887630.15</v>
      </c>
      <c r="D64" s="23">
        <f>55240241689.75</f>
        <v>55240241689.75</v>
      </c>
      <c r="E64" s="23">
        <f>30051294652.93</f>
        <v>30051294652.93</v>
      </c>
      <c r="F64" s="23">
        <f>1145066542.09</f>
        <v>1145066542.09</v>
      </c>
      <c r="G64" s="23">
        <f>433787.69</f>
        <v>433787.69</v>
      </c>
      <c r="H64" s="23">
        <f>2604766.21</f>
        <v>2604766.21</v>
      </c>
      <c r="I64" s="105">
        <f>0</f>
        <v>0</v>
      </c>
      <c r="J64" s="106"/>
      <c r="K64" s="35">
        <f t="shared" si="6"/>
        <v>26.752449651244874</v>
      </c>
      <c r="L64" s="35">
        <f t="shared" si="7"/>
        <v>48.324165749630254</v>
      </c>
    </row>
    <row r="65" spans="2:12" ht="22.5" customHeight="1">
      <c r="B65" s="21" t="s">
        <v>55</v>
      </c>
      <c r="C65" s="23">
        <f>13089595306.46</f>
        <v>13089595306.46</v>
      </c>
      <c r="D65" s="23">
        <f>11609144571.99</f>
        <v>11609144571.99</v>
      </c>
      <c r="E65" s="23">
        <f>6364605440.66</f>
        <v>6364605440.66</v>
      </c>
      <c r="F65" s="23">
        <f>645830472.23</f>
        <v>645830472.23</v>
      </c>
      <c r="G65" s="23">
        <f>81537.36</f>
        <v>81537.36</v>
      </c>
      <c r="H65" s="23">
        <f>1228560.81</f>
        <v>1228560.81</v>
      </c>
      <c r="I65" s="105">
        <f>0</f>
        <v>0</v>
      </c>
      <c r="J65" s="106"/>
      <c r="K65" s="35">
        <f t="shared" si="6"/>
        <v>5.665938475123055</v>
      </c>
      <c r="L65" s="35">
        <f t="shared" si="7"/>
        <v>48.62339355532962</v>
      </c>
    </row>
    <row r="66" spans="2:12" ht="22.5" customHeight="1">
      <c r="B66" s="21" t="s">
        <v>54</v>
      </c>
      <c r="C66" s="23">
        <f>21228313277.65</f>
        <v>21228313277.65</v>
      </c>
      <c r="D66" s="23">
        <f>16345971211.92</f>
        <v>16345971211.92</v>
      </c>
      <c r="E66" s="23">
        <f>10827479679.35</f>
        <v>10827479679.35</v>
      </c>
      <c r="F66" s="23">
        <f>26825613.88</f>
        <v>26825613.88</v>
      </c>
      <c r="G66" s="23">
        <f>56593.57</f>
        <v>56593.57</v>
      </c>
      <c r="H66" s="23">
        <f>406511.26</f>
        <v>406511.26</v>
      </c>
      <c r="I66" s="105">
        <f>0</f>
        <v>0</v>
      </c>
      <c r="J66" s="106"/>
      <c r="K66" s="35">
        <f t="shared" si="6"/>
        <v>9.63890602109037</v>
      </c>
      <c r="L66" s="35">
        <f t="shared" si="7"/>
        <v>51.0048986828812</v>
      </c>
    </row>
    <row r="67" spans="2:12" ht="22.5" customHeight="1">
      <c r="B67" s="21" t="s">
        <v>53</v>
      </c>
      <c r="C67" s="23">
        <f>2436794645.9</f>
        <v>2436794645.9</v>
      </c>
      <c r="D67" s="23">
        <f>1403792062.15</f>
        <v>1403792062.15</v>
      </c>
      <c r="E67" s="23">
        <f>888292749.26</f>
        <v>888292749.26</v>
      </c>
      <c r="F67" s="23">
        <f>41681646.19</f>
        <v>41681646.19</v>
      </c>
      <c r="G67" s="23">
        <f>7452205.15</f>
        <v>7452205.15</v>
      </c>
      <c r="H67" s="23">
        <f>1417521.22</f>
        <v>1417521.22</v>
      </c>
      <c r="I67" s="105">
        <f>0</f>
        <v>0</v>
      </c>
      <c r="J67" s="106"/>
      <c r="K67" s="35">
        <f t="shared" si="6"/>
        <v>0.7907814729648277</v>
      </c>
      <c r="L67" s="35">
        <f t="shared" si="7"/>
        <v>36.45332817661047</v>
      </c>
    </row>
    <row r="68" spans="2:12" ht="33.75" customHeight="1">
      <c r="B68" s="21" t="s">
        <v>72</v>
      </c>
      <c r="C68" s="23">
        <f>370541543.21</f>
        <v>370541543.21</v>
      </c>
      <c r="D68" s="23">
        <f>49799173.84</f>
        <v>49799173.84</v>
      </c>
      <c r="E68" s="23">
        <f>11673303.71</f>
        <v>11673303.71</v>
      </c>
      <c r="F68" s="23">
        <f>946734.95</f>
        <v>946734.95</v>
      </c>
      <c r="G68" s="23">
        <f>0</f>
        <v>0</v>
      </c>
      <c r="H68" s="23">
        <f>0</f>
        <v>0</v>
      </c>
      <c r="I68" s="105">
        <f>0</f>
        <v>0</v>
      </c>
      <c r="J68" s="106"/>
      <c r="K68" s="35">
        <f t="shared" si="6"/>
        <v>0.010391880728340493</v>
      </c>
      <c r="L68" s="35">
        <f t="shared" si="7"/>
        <v>3.1503360214010594</v>
      </c>
    </row>
    <row r="69" spans="2:12" ht="30" customHeight="1">
      <c r="B69" s="21" t="s">
        <v>74</v>
      </c>
      <c r="C69" s="23">
        <f>40297243010.92</f>
        <v>40297243010.92</v>
      </c>
      <c r="D69" s="23">
        <f>28962962934.3</f>
        <v>28962962934.3</v>
      </c>
      <c r="E69" s="23">
        <f>20258010867.49</f>
        <v>20258010867.49</v>
      </c>
      <c r="F69" s="23">
        <f>328636624.07</f>
        <v>328636624.07</v>
      </c>
      <c r="G69" s="23">
        <f>155132.98</f>
        <v>155132.98</v>
      </c>
      <c r="H69" s="23">
        <f>277291.35</f>
        <v>277291.35</v>
      </c>
      <c r="I69" s="105">
        <f>0</f>
        <v>0</v>
      </c>
      <c r="J69" s="106"/>
      <c r="K69" s="35">
        <f t="shared" si="6"/>
        <v>18.0342119042135</v>
      </c>
      <c r="L69" s="35">
        <f t="shared" si="7"/>
        <v>50.27145619366655</v>
      </c>
    </row>
    <row r="70" spans="2:12" ht="22.5" customHeight="1">
      <c r="B70" s="21" t="s">
        <v>52</v>
      </c>
      <c r="C70" s="23">
        <f aca="true" t="shared" si="9" ref="C70:I70">C62-C63-C65-C66-C67-C68-C69</f>
        <v>61692886477.410065</v>
      </c>
      <c r="D70" s="23">
        <f t="shared" si="9"/>
        <v>41814221461.93999</v>
      </c>
      <c r="E70" s="23">
        <f t="shared" si="9"/>
        <v>26527794751.049984</v>
      </c>
      <c r="F70" s="23">
        <f t="shared" si="9"/>
        <v>1981449584.2500002</v>
      </c>
      <c r="G70" s="23">
        <f t="shared" si="9"/>
        <v>15772758.6</v>
      </c>
      <c r="H70" s="23">
        <f t="shared" si="9"/>
        <v>21796756.779999997</v>
      </c>
      <c r="I70" s="105">
        <f t="shared" si="9"/>
        <v>0</v>
      </c>
      <c r="J70" s="106"/>
      <c r="K70" s="35">
        <f t="shared" si="6"/>
        <v>23.615737745489398</v>
      </c>
      <c r="L70" s="35">
        <f t="shared" si="7"/>
        <v>42.99976263999838</v>
      </c>
    </row>
    <row r="71" spans="2:13" ht="24" customHeight="1">
      <c r="B71" s="20" t="s">
        <v>15</v>
      </c>
      <c r="C71" s="26">
        <f>C6-C59</f>
        <v>-26496468980.360016</v>
      </c>
      <c r="D71" s="26"/>
      <c r="E71" s="26">
        <f>D6-E59</f>
        <v>13390552323.130005</v>
      </c>
      <c r="F71" s="26"/>
      <c r="G71" s="26"/>
      <c r="H71" s="26"/>
      <c r="I71" s="111"/>
      <c r="J71" s="111"/>
      <c r="K71" s="27"/>
      <c r="L71" s="27"/>
      <c r="M71" s="14"/>
    </row>
    <row r="72" spans="2:13" ht="38.25">
      <c r="B72" s="61" t="s">
        <v>83</v>
      </c>
      <c r="C72" s="62">
        <f>+C50-C62</f>
        <v>12492605145.079956</v>
      </c>
      <c r="D72" s="62"/>
      <c r="E72" s="62">
        <f>+D50-E62</f>
        <v>18581817092.130005</v>
      </c>
      <c r="F72" s="62"/>
      <c r="G72" s="62"/>
      <c r="H72" s="62"/>
      <c r="I72" s="99"/>
      <c r="J72" s="100"/>
      <c r="K72" s="27"/>
      <c r="L72" s="27"/>
      <c r="M72" s="14"/>
    </row>
    <row r="73" spans="2:13" ht="12" customHeight="1" thickBot="1">
      <c r="B73" s="63"/>
      <c r="C73" s="64"/>
      <c r="D73" s="64"/>
      <c r="E73" s="64"/>
      <c r="F73" s="2"/>
      <c r="G73" s="2"/>
      <c r="H73" s="2"/>
      <c r="I73" s="2"/>
      <c r="L73" s="11"/>
      <c r="M73" s="11"/>
    </row>
    <row r="74" spans="2:13" ht="12" customHeight="1" thickBot="1">
      <c r="B74" s="65" t="s">
        <v>77</v>
      </c>
      <c r="C74" s="64"/>
      <c r="D74" s="64"/>
      <c r="E74" s="64"/>
      <c r="F74" s="2"/>
      <c r="G74" s="2"/>
      <c r="H74" s="2"/>
      <c r="I74" s="2"/>
      <c r="L74" s="11"/>
      <c r="M74" s="11"/>
    </row>
    <row r="75" spans="2:13" ht="35.25" customHeight="1">
      <c r="B75" s="81" t="s">
        <v>78</v>
      </c>
      <c r="C75" s="76">
        <f>39687706750.84</f>
        <v>39687706750.84</v>
      </c>
      <c r="D75" s="76">
        <f>22696209700.94</f>
        <v>22696209700.94</v>
      </c>
      <c r="E75" s="76">
        <f>7578746421.18</f>
        <v>7578746421.18</v>
      </c>
      <c r="F75" s="76">
        <f>850345321.01</f>
        <v>850345321.01</v>
      </c>
      <c r="G75" s="76">
        <f>123781.33</f>
        <v>123781.33</v>
      </c>
      <c r="H75" s="76">
        <f>3280458.8</f>
        <v>3280458.8</v>
      </c>
      <c r="I75" s="110">
        <f>0</f>
        <v>0</v>
      </c>
      <c r="J75" s="110"/>
      <c r="K75" s="60">
        <f>IF($E$75=0,"",100*$E75/$E$75)</f>
        <v>100</v>
      </c>
      <c r="L75" s="60">
        <f>IF(C75=0,"",100*E75/C75)</f>
        <v>19.095954494825012</v>
      </c>
      <c r="M75" s="11"/>
    </row>
    <row r="76" spans="2:13" ht="21.75" customHeight="1">
      <c r="B76" s="78" t="s">
        <v>81</v>
      </c>
      <c r="C76" s="79">
        <f>34422051270.33</f>
        <v>34422051270.33</v>
      </c>
      <c r="D76" s="79">
        <f>19641630814.02</f>
        <v>19641630814.02</v>
      </c>
      <c r="E76" s="79">
        <f>5773189314.56</f>
        <v>5773189314.56</v>
      </c>
      <c r="F76" s="79">
        <f>805218218.87</f>
        <v>805218218.87</v>
      </c>
      <c r="G76" s="79">
        <f>123781.33</f>
        <v>123781.33</v>
      </c>
      <c r="H76" s="79">
        <f>3255978.88</f>
        <v>3255978.88</v>
      </c>
      <c r="I76" s="113">
        <f>0</f>
        <v>0</v>
      </c>
      <c r="J76" s="113"/>
      <c r="K76" s="80">
        <f>IF($E$75=0,"",100*$E76/$E$75)</f>
        <v>76.17604540014577</v>
      </c>
      <c r="L76" s="80">
        <f>IF(C76=0,"",100*E76/C76)</f>
        <v>16.77177594449807</v>
      </c>
      <c r="M76" s="11"/>
    </row>
    <row r="77" spans="2:12" ht="24" customHeight="1">
      <c r="B77" s="78" t="s">
        <v>82</v>
      </c>
      <c r="C77" s="79">
        <f aca="true" t="shared" si="10" ref="C77:I77">C75-C76</f>
        <v>5265655480.5099945</v>
      </c>
      <c r="D77" s="79">
        <f t="shared" si="10"/>
        <v>3054578886.919998</v>
      </c>
      <c r="E77" s="79">
        <f t="shared" si="10"/>
        <v>1805557106.62</v>
      </c>
      <c r="F77" s="79">
        <f t="shared" si="10"/>
        <v>45127102.139999986</v>
      </c>
      <c r="G77" s="79">
        <f t="shared" si="10"/>
        <v>0</v>
      </c>
      <c r="H77" s="79">
        <f t="shared" si="10"/>
        <v>24479.919999999925</v>
      </c>
      <c r="I77" s="113">
        <f t="shared" si="10"/>
        <v>0</v>
      </c>
      <c r="J77" s="113"/>
      <c r="K77" s="80">
        <f>IF($E$75=0,"",100*$E77/$E$75)</f>
        <v>23.823954599854222</v>
      </c>
      <c r="L77" s="80">
        <f>IF(C77=0,"",100*E77/C77)</f>
        <v>34.289313330562344</v>
      </c>
    </row>
    <row r="78" spans="2:13" ht="20.25">
      <c r="B78" s="102" t="s">
        <v>115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8" ht="12.75">
      <c r="B79" s="41" t="s">
        <v>16</v>
      </c>
      <c r="C79" s="93" t="s">
        <v>17</v>
      </c>
      <c r="D79" s="89"/>
      <c r="E79" s="93" t="s">
        <v>1</v>
      </c>
      <c r="F79" s="89"/>
      <c r="G79" s="19" t="s">
        <v>26</v>
      </c>
      <c r="H79" s="19" t="s">
        <v>27</v>
      </c>
    </row>
    <row r="80" spans="2:8" ht="12.75">
      <c r="B80" s="41"/>
      <c r="C80" s="94" t="s">
        <v>84</v>
      </c>
      <c r="D80" s="95"/>
      <c r="E80" s="95"/>
      <c r="F80" s="96"/>
      <c r="G80" s="97" t="s">
        <v>4</v>
      </c>
      <c r="H80" s="98"/>
    </row>
    <row r="81" spans="2:8" ht="12.75">
      <c r="B81" s="39">
        <v>1</v>
      </c>
      <c r="C81" s="43">
        <v>2</v>
      </c>
      <c r="D81" s="44"/>
      <c r="E81" s="43">
        <v>3</v>
      </c>
      <c r="F81" s="44"/>
      <c r="G81" s="40">
        <v>4</v>
      </c>
      <c r="H81" s="40">
        <v>5</v>
      </c>
    </row>
    <row r="82" spans="2:8" ht="25.5">
      <c r="B82" s="38" t="s">
        <v>70</v>
      </c>
      <c r="C82" s="45">
        <f>36175190642.05</f>
        <v>36175190642.05</v>
      </c>
      <c r="D82" s="46"/>
      <c r="E82" s="45">
        <f>20497434046.66</f>
        <v>20497434046.66</v>
      </c>
      <c r="F82" s="46"/>
      <c r="G82" s="42">
        <f>IF($E$82=0,"",100*$E82/$E$82)</f>
        <v>100</v>
      </c>
      <c r="H82" s="34">
        <f>IF(C82=0,"",100*E82/C82)</f>
        <v>56.661578509648</v>
      </c>
    </row>
    <row r="83" spans="2:8" ht="33.75">
      <c r="B83" s="37" t="s">
        <v>103</v>
      </c>
      <c r="C83" s="47">
        <f>22142306874.24</f>
        <v>22142306874.24</v>
      </c>
      <c r="D83" s="48"/>
      <c r="E83" s="47">
        <f>1841239295.28</f>
        <v>1841239295.28</v>
      </c>
      <c r="F83" s="48"/>
      <c r="G83" s="58">
        <f aca="true" t="shared" si="11" ref="G83:G89">IF($E$82=0,"",100*$E83/$E$82)</f>
        <v>8.982779459558865</v>
      </c>
      <c r="H83" s="59">
        <f aca="true" t="shared" si="12" ref="H83:H94">IF(C83=0,"",100*E83/C83)</f>
        <v>8.31548088343978</v>
      </c>
    </row>
    <row r="84" spans="2:8" ht="22.5">
      <c r="B84" s="30" t="s">
        <v>104</v>
      </c>
      <c r="C84" s="82">
        <f>1079446992.5</f>
        <v>1079446992.5</v>
      </c>
      <c r="D84" s="83"/>
      <c r="E84" s="82">
        <f>18510000</f>
        <v>18510000</v>
      </c>
      <c r="F84" s="83"/>
      <c r="G84" s="84">
        <f t="shared" si="11"/>
        <v>0.09030398613730949</v>
      </c>
      <c r="H84" s="80">
        <f t="shared" si="12"/>
        <v>1.7147669249724646</v>
      </c>
    </row>
    <row r="85" spans="2:8" ht="12.75">
      <c r="B85" s="85" t="s">
        <v>105</v>
      </c>
      <c r="C85" s="82">
        <f>170442248.74</f>
        <v>170442248.74</v>
      </c>
      <c r="D85" s="83"/>
      <c r="E85" s="82">
        <f>40246280.47</f>
        <v>40246280.47</v>
      </c>
      <c r="F85" s="83"/>
      <c r="G85" s="84">
        <f t="shared" si="11"/>
        <v>0.1963478959287493</v>
      </c>
      <c r="H85" s="80">
        <f t="shared" si="12"/>
        <v>23.61285465752885</v>
      </c>
    </row>
    <row r="86" spans="2:8" ht="12.75">
      <c r="B86" s="85" t="s">
        <v>106</v>
      </c>
      <c r="C86" s="82">
        <f>2290300899.95</f>
        <v>2290300899.95</v>
      </c>
      <c r="D86" s="83"/>
      <c r="E86" s="82">
        <f>3133698860.81</f>
        <v>3133698860.81</v>
      </c>
      <c r="F86" s="83"/>
      <c r="G86" s="84">
        <f t="shared" si="11"/>
        <v>15.28824951297076</v>
      </c>
      <c r="H86" s="80">
        <f t="shared" si="12"/>
        <v>136.82476660068608</v>
      </c>
    </row>
    <row r="87" spans="2:8" ht="12.75">
      <c r="B87" s="85" t="s">
        <v>107</v>
      </c>
      <c r="C87" s="82">
        <f>0</f>
        <v>0</v>
      </c>
      <c r="D87" s="83"/>
      <c r="E87" s="82">
        <f>0.53</f>
        <v>0.53</v>
      </c>
      <c r="F87" s="83"/>
      <c r="G87" s="84">
        <f t="shared" si="11"/>
        <v>2.5856895004199904E-09</v>
      </c>
      <c r="H87" s="80">
        <f t="shared" si="12"/>
      </c>
    </row>
    <row r="88" spans="2:8" ht="33.75">
      <c r="B88" s="85" t="s">
        <v>108</v>
      </c>
      <c r="C88" s="82">
        <f>11195679542.76</f>
        <v>11195679542.76</v>
      </c>
      <c r="D88" s="83"/>
      <c r="E88" s="82">
        <f>15288452216.53</f>
        <v>15288452216.53</v>
      </c>
      <c r="F88" s="83"/>
      <c r="G88" s="84">
        <f t="shared" si="11"/>
        <v>74.58715164897048</v>
      </c>
      <c r="H88" s="80">
        <f t="shared" si="12"/>
        <v>136.55671509834082</v>
      </c>
    </row>
    <row r="89" spans="2:8" ht="12.75">
      <c r="B89" s="85" t="s">
        <v>86</v>
      </c>
      <c r="C89" s="82">
        <f>376461076.36</f>
        <v>376461076.36</v>
      </c>
      <c r="D89" s="83"/>
      <c r="E89" s="82">
        <f>193797393.04</f>
        <v>193797393.04</v>
      </c>
      <c r="F89" s="83"/>
      <c r="G89" s="84">
        <f t="shared" si="11"/>
        <v>0.9454714799854607</v>
      </c>
      <c r="H89" s="80">
        <f t="shared" si="12"/>
        <v>51.47873318373997</v>
      </c>
    </row>
    <row r="90" spans="2:8" ht="25.5">
      <c r="B90" s="38" t="s">
        <v>71</v>
      </c>
      <c r="C90" s="55">
        <f>9660368084</f>
        <v>9660368084</v>
      </c>
      <c r="D90" s="56"/>
      <c r="E90" s="55">
        <f>5084970713.86</f>
        <v>5084970713.86</v>
      </c>
      <c r="F90" s="56"/>
      <c r="G90" s="42">
        <f>IF($E$90=0,"",100*$E90/$E$90)</f>
        <v>100</v>
      </c>
      <c r="H90" s="34">
        <f t="shared" si="12"/>
        <v>52.63744269001499</v>
      </c>
    </row>
    <row r="91" spans="2:8" ht="33.75">
      <c r="B91" s="37" t="s">
        <v>109</v>
      </c>
      <c r="C91" s="47">
        <f>8563627538.92</f>
        <v>8563627538.92</v>
      </c>
      <c r="D91" s="53"/>
      <c r="E91" s="54">
        <f>3835686966.75</f>
        <v>3835686966.75</v>
      </c>
      <c r="F91" s="53"/>
      <c r="G91" s="58">
        <f>IF($E$90=0,"",100*$E91/$E$90)</f>
        <v>75.4318398785493</v>
      </c>
      <c r="H91" s="59">
        <f t="shared" si="12"/>
        <v>44.79044598001908</v>
      </c>
    </row>
    <row r="92" spans="2:8" ht="22.5">
      <c r="B92" s="30" t="s">
        <v>110</v>
      </c>
      <c r="C92" s="82">
        <f>567389155</f>
        <v>567389155</v>
      </c>
      <c r="D92" s="83"/>
      <c r="E92" s="82">
        <f>310489000</f>
        <v>310489000</v>
      </c>
      <c r="F92" s="83"/>
      <c r="G92" s="84">
        <f>IF($E$90=0,"",100*$E92/$E$90)</f>
        <v>6.106013534231506</v>
      </c>
      <c r="H92" s="80">
        <f t="shared" si="12"/>
        <v>54.722406528901665</v>
      </c>
    </row>
    <row r="93" spans="2:8" ht="12.75">
      <c r="B93" s="85" t="s">
        <v>111</v>
      </c>
      <c r="C93" s="82">
        <f>221514175.31</f>
        <v>221514175.31</v>
      </c>
      <c r="D93" s="83"/>
      <c r="E93" s="82">
        <f>124854329.85</f>
        <v>124854329.85</v>
      </c>
      <c r="F93" s="83"/>
      <c r="G93" s="84">
        <f>IF($E$90=0,"",100*$E93/$E$90)</f>
        <v>2.4553598609661043</v>
      </c>
      <c r="H93" s="80">
        <f t="shared" si="12"/>
        <v>56.36403615040504</v>
      </c>
    </row>
    <row r="94" spans="2:8" ht="12.75">
      <c r="B94" s="36" t="s">
        <v>33</v>
      </c>
      <c r="C94" s="47">
        <f>875226369.77</f>
        <v>875226369.77</v>
      </c>
      <c r="D94" s="50"/>
      <c r="E94" s="47">
        <f>1124429417.26</f>
        <v>1124429417.26</v>
      </c>
      <c r="F94" s="50"/>
      <c r="G94" s="58">
        <f>IF($E$90=0,"",100*$E94/$E$90)</f>
        <v>22.112800260484608</v>
      </c>
      <c r="H94" s="59">
        <f t="shared" si="12"/>
        <v>128.47298208753557</v>
      </c>
    </row>
    <row r="96" spans="2:8" ht="12.75">
      <c r="B96" s="41" t="s">
        <v>16</v>
      </c>
      <c r="C96" s="93" t="s">
        <v>17</v>
      </c>
      <c r="D96" s="89"/>
      <c r="E96" s="93" t="s">
        <v>1</v>
      </c>
      <c r="F96" s="89"/>
      <c r="G96" s="19" t="s">
        <v>26</v>
      </c>
      <c r="H96" s="19" t="s">
        <v>27</v>
      </c>
    </row>
    <row r="97" spans="2:8" ht="12.75">
      <c r="B97" s="41"/>
      <c r="C97" s="94" t="s">
        <v>84</v>
      </c>
      <c r="D97" s="95"/>
      <c r="E97" s="95"/>
      <c r="F97" s="96"/>
      <c r="G97" s="97" t="s">
        <v>4</v>
      </c>
      <c r="H97" s="98"/>
    </row>
    <row r="98" spans="2:8" ht="12.75">
      <c r="B98" s="39">
        <v>1</v>
      </c>
      <c r="C98" s="43">
        <v>2</v>
      </c>
      <c r="D98" s="44"/>
      <c r="E98" s="43">
        <v>3</v>
      </c>
      <c r="F98" s="44"/>
      <c r="G98" s="40">
        <v>4</v>
      </c>
      <c r="H98" s="40">
        <v>5</v>
      </c>
    </row>
    <row r="99" spans="2:8" ht="22.5">
      <c r="B99" s="57" t="s">
        <v>87</v>
      </c>
      <c r="C99" s="52">
        <f>26651554436.56</f>
        <v>26651554436.56</v>
      </c>
      <c r="D99" s="49"/>
      <c r="E99" s="52">
        <f>0</f>
        <v>0</v>
      </c>
      <c r="F99" s="46"/>
      <c r="G99" s="42"/>
      <c r="H99" s="34"/>
    </row>
    <row r="100" spans="2:8" ht="56.25">
      <c r="B100" s="51" t="s">
        <v>88</v>
      </c>
      <c r="C100" s="54">
        <f>602783839.37</f>
        <v>602783839.37</v>
      </c>
      <c r="D100" s="53"/>
      <c r="E100" s="54">
        <f>0</f>
        <v>0</v>
      </c>
      <c r="F100" s="53"/>
      <c r="G100" s="58"/>
      <c r="H100" s="59"/>
    </row>
    <row r="101" spans="2:8" ht="12.75">
      <c r="B101" s="51" t="s">
        <v>89</v>
      </c>
      <c r="C101" s="54">
        <f>16021377145.06</f>
        <v>16021377145.06</v>
      </c>
      <c r="D101" s="53"/>
      <c r="E101" s="54">
        <f>0</f>
        <v>0</v>
      </c>
      <c r="F101" s="53"/>
      <c r="G101" s="58"/>
      <c r="H101" s="59"/>
    </row>
    <row r="102" spans="2:8" ht="33.75">
      <c r="B102" s="51" t="s">
        <v>90</v>
      </c>
      <c r="C102" s="54">
        <f>0</f>
        <v>0</v>
      </c>
      <c r="D102" s="53"/>
      <c r="E102" s="54">
        <f>0</f>
        <v>0</v>
      </c>
      <c r="F102" s="53"/>
      <c r="G102" s="58"/>
      <c r="H102" s="59"/>
    </row>
    <row r="103" spans="2:8" ht="33.75">
      <c r="B103" s="51" t="s">
        <v>91</v>
      </c>
      <c r="C103" s="54">
        <f>1639099539.31</f>
        <v>1639099539.31</v>
      </c>
      <c r="D103" s="53"/>
      <c r="E103" s="54">
        <f>0</f>
        <v>0</v>
      </c>
      <c r="F103" s="53"/>
      <c r="G103" s="58"/>
      <c r="H103" s="59"/>
    </row>
    <row r="104" spans="2:8" ht="101.25">
      <c r="B104" s="51" t="s">
        <v>92</v>
      </c>
      <c r="C104" s="54">
        <f>8388293912.82</f>
        <v>8388293912.82</v>
      </c>
      <c r="D104" s="53"/>
      <c r="E104" s="54">
        <f>0</f>
        <v>0</v>
      </c>
      <c r="F104" s="53"/>
      <c r="G104" s="58"/>
      <c r="H104" s="59"/>
    </row>
    <row r="106" spans="2:6" ht="12.75">
      <c r="B106" s="41" t="s">
        <v>16</v>
      </c>
      <c r="C106" s="93" t="s">
        <v>114</v>
      </c>
      <c r="D106" s="88"/>
      <c r="E106" s="88"/>
      <c r="F106" s="89"/>
    </row>
    <row r="107" spans="2:6" ht="12.75">
      <c r="B107" s="41"/>
      <c r="C107" s="94" t="s">
        <v>84</v>
      </c>
      <c r="D107" s="95"/>
      <c r="E107" s="95"/>
      <c r="F107" s="96"/>
    </row>
    <row r="108" spans="2:6" ht="12.75">
      <c r="B108" s="39">
        <v>1</v>
      </c>
      <c r="C108" s="90">
        <v>2</v>
      </c>
      <c r="D108" s="91"/>
      <c r="E108" s="91"/>
      <c r="F108" s="92"/>
    </row>
    <row r="109" spans="2:6" ht="56.25">
      <c r="B109" s="57" t="s">
        <v>93</v>
      </c>
      <c r="C109" s="87">
        <f>662421269.86</f>
        <v>662421269.86</v>
      </c>
      <c r="D109" s="88"/>
      <c r="E109" s="88"/>
      <c r="F109" s="89"/>
    </row>
    <row r="110" spans="2:6" ht="45">
      <c r="B110" s="86" t="s">
        <v>94</v>
      </c>
      <c r="C110" s="87">
        <f>384221199.5</f>
        <v>384221199.5</v>
      </c>
      <c r="D110" s="88"/>
      <c r="E110" s="88"/>
      <c r="F110" s="89"/>
    </row>
    <row r="111" spans="2:6" ht="45">
      <c r="B111" s="86" t="s">
        <v>95</v>
      </c>
      <c r="C111" s="87">
        <f>126133870.81</f>
        <v>126133870.81</v>
      </c>
      <c r="D111" s="88"/>
      <c r="E111" s="88"/>
      <c r="F111" s="89"/>
    </row>
    <row r="112" spans="2:6" ht="78.75">
      <c r="B112" s="86" t="s">
        <v>96</v>
      </c>
      <c r="C112" s="87">
        <f>6233924</f>
        <v>6233924</v>
      </c>
      <c r="D112" s="88"/>
      <c r="E112" s="88"/>
      <c r="F112" s="89"/>
    </row>
    <row r="113" spans="2:6" ht="56.25">
      <c r="B113" s="86" t="s">
        <v>97</v>
      </c>
      <c r="C113" s="87">
        <f>133526340</f>
        <v>133526340</v>
      </c>
      <c r="D113" s="88"/>
      <c r="E113" s="88"/>
      <c r="F113" s="89"/>
    </row>
    <row r="114" spans="2:6" ht="56.25">
      <c r="B114" s="86" t="s">
        <v>98</v>
      </c>
      <c r="C114" s="87">
        <f>5734884.3</f>
        <v>5734884.3</v>
      </c>
      <c r="D114" s="88"/>
      <c r="E114" s="88"/>
      <c r="F114" s="89"/>
    </row>
    <row r="115" spans="2:6" ht="56.25">
      <c r="B115" s="86" t="s">
        <v>99</v>
      </c>
      <c r="C115" s="87">
        <f>0</f>
        <v>0</v>
      </c>
      <c r="D115" s="88"/>
      <c r="E115" s="88"/>
      <c r="F115" s="89"/>
    </row>
    <row r="116" spans="2:6" ht="112.5">
      <c r="B116" s="86" t="s">
        <v>112</v>
      </c>
      <c r="C116" s="87">
        <f>9059769.77</f>
        <v>9059769.77</v>
      </c>
      <c r="D116" s="88"/>
      <c r="E116" s="88"/>
      <c r="F116" s="89"/>
    </row>
    <row r="117" spans="2:6" ht="112.5">
      <c r="B117" s="86" t="s">
        <v>113</v>
      </c>
      <c r="C117" s="87">
        <f>4027040.84</f>
        <v>4027040.84</v>
      </c>
      <c r="D117" s="88"/>
      <c r="E117" s="88"/>
      <c r="F117" s="89"/>
    </row>
  </sheetData>
  <sheetProtection/>
  <mergeCells count="56">
    <mergeCell ref="I58:J58"/>
    <mergeCell ref="I77:J77"/>
    <mergeCell ref="I69:J69"/>
    <mergeCell ref="I67:J67"/>
    <mergeCell ref="I68:J68"/>
    <mergeCell ref="I70:J70"/>
    <mergeCell ref="I71:J71"/>
    <mergeCell ref="I75:J75"/>
    <mergeCell ref="I76:J76"/>
    <mergeCell ref="I63:J63"/>
    <mergeCell ref="I65:J65"/>
    <mergeCell ref="I66:J66"/>
    <mergeCell ref="I59:J59"/>
    <mergeCell ref="I60:J60"/>
    <mergeCell ref="I61:J61"/>
    <mergeCell ref="I62:J62"/>
    <mergeCell ref="B1:M1"/>
    <mergeCell ref="B78:M78"/>
    <mergeCell ref="I54:J56"/>
    <mergeCell ref="D54:D56"/>
    <mergeCell ref="E54:E56"/>
    <mergeCell ref="F55:F56"/>
    <mergeCell ref="F54:H54"/>
    <mergeCell ref="G55:H55"/>
    <mergeCell ref="L54:L56"/>
    <mergeCell ref="B3:B4"/>
    <mergeCell ref="I72:J72"/>
    <mergeCell ref="K4:M4"/>
    <mergeCell ref="C4:J4"/>
    <mergeCell ref="B52:M52"/>
    <mergeCell ref="C57:J57"/>
    <mergeCell ref="C54:C56"/>
    <mergeCell ref="B54:B57"/>
    <mergeCell ref="K54:K56"/>
    <mergeCell ref="K57:L57"/>
    <mergeCell ref="I64:J64"/>
    <mergeCell ref="G80:H80"/>
    <mergeCell ref="C107:F107"/>
    <mergeCell ref="C96:D96"/>
    <mergeCell ref="E96:F96"/>
    <mergeCell ref="C97:F97"/>
    <mergeCell ref="G97:H97"/>
    <mergeCell ref="C106:F106"/>
    <mergeCell ref="C108:F108"/>
    <mergeCell ref="C109:F109"/>
    <mergeCell ref="C79:D79"/>
    <mergeCell ref="E79:F79"/>
    <mergeCell ref="C80:F80"/>
    <mergeCell ref="C114:F114"/>
    <mergeCell ref="C115:F115"/>
    <mergeCell ref="C116:F116"/>
    <mergeCell ref="C117:F117"/>
    <mergeCell ref="C113:F113"/>
    <mergeCell ref="C110:F110"/>
    <mergeCell ref="C111:F111"/>
    <mergeCell ref="C112:F112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7" max="12" man="1"/>
    <brk id="10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2018-08-22T13:21:40Z</dcterms:modified>
  <cp:category/>
  <cp:version/>
  <cp:contentType/>
  <cp:contentStatus/>
</cp:coreProperties>
</file>