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```ST7\Besti@\2023\II kwartał\Dane ostateczne 2023.08.14\"/>
    </mc:Choice>
  </mc:AlternateContent>
  <bookViews>
    <workbookView xWindow="240" yWindow="120" windowWidth="14220" windowHeight="8835"/>
  </bookViews>
  <sheets>
    <sheet name="doch_wyd" sheetId="4" r:id="rId1"/>
    <sheet name="definicja" sheetId="5" r:id="rId2"/>
  </sheets>
  <definedNames>
    <definedName name="_xlnm.Print_Area" localSheetId="0">doch_wyd!$A$1:$M$119</definedName>
  </definedNames>
  <calcPr calcId="152511"/>
</workbook>
</file>

<file path=xl/calcChain.xml><?xml version="1.0" encoding="utf-8"?>
<calcChain xmlns="http://schemas.openxmlformats.org/spreadsheetml/2006/main">
  <c r="C121" i="5" l="1"/>
  <c r="C120" i="5"/>
  <c r="C119" i="5"/>
  <c r="C119" i="4"/>
  <c r="C118" i="4"/>
  <c r="C117" i="4"/>
  <c r="D115" i="4"/>
  <c r="C115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2" i="4"/>
  <c r="C102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I80" i="4"/>
  <c r="H80" i="4"/>
  <c r="G80" i="4"/>
  <c r="F80" i="4"/>
  <c r="E80" i="4"/>
  <c r="D80" i="4"/>
  <c r="C80" i="4"/>
  <c r="I79" i="4"/>
  <c r="H79" i="4"/>
  <c r="G79" i="4"/>
  <c r="F79" i="4"/>
  <c r="E79" i="4"/>
  <c r="D79" i="4"/>
  <c r="C79" i="4"/>
  <c r="I73" i="4"/>
  <c r="H73" i="4"/>
  <c r="G73" i="4"/>
  <c r="F73" i="4"/>
  <c r="E73" i="4"/>
  <c r="D73" i="4"/>
  <c r="C73" i="4"/>
  <c r="I72" i="4"/>
  <c r="H72" i="4"/>
  <c r="G72" i="4"/>
  <c r="F72" i="4"/>
  <c r="E72" i="4"/>
  <c r="D72" i="4"/>
  <c r="C72" i="4"/>
  <c r="I71" i="4"/>
  <c r="H71" i="4"/>
  <c r="G71" i="4"/>
  <c r="F71" i="4"/>
  <c r="E71" i="4"/>
  <c r="D71" i="4"/>
  <c r="C71" i="4"/>
  <c r="I70" i="4"/>
  <c r="H70" i="4"/>
  <c r="G70" i="4"/>
  <c r="F70" i="4"/>
  <c r="E70" i="4"/>
  <c r="D70" i="4"/>
  <c r="C70" i="4"/>
  <c r="I69" i="4"/>
  <c r="H69" i="4"/>
  <c r="G69" i="4"/>
  <c r="F69" i="4"/>
  <c r="E69" i="4"/>
  <c r="D69" i="4"/>
  <c r="C69" i="4"/>
  <c r="I67" i="4"/>
  <c r="H67" i="4"/>
  <c r="G67" i="4"/>
  <c r="F67" i="4"/>
  <c r="E67" i="4"/>
  <c r="D67" i="4"/>
  <c r="C67" i="4"/>
  <c r="I66" i="4"/>
  <c r="H66" i="4"/>
  <c r="G66" i="4"/>
  <c r="F66" i="4"/>
  <c r="E66" i="4"/>
  <c r="D66" i="4"/>
  <c r="C66" i="4"/>
  <c r="I65" i="4"/>
  <c r="H65" i="4"/>
  <c r="G65" i="4"/>
  <c r="F65" i="4"/>
  <c r="E65" i="4"/>
  <c r="D65" i="4"/>
  <c r="C65" i="4"/>
  <c r="I55" i="4"/>
  <c r="H55" i="4"/>
  <c r="G55" i="4"/>
  <c r="F55" i="4"/>
  <c r="E55" i="4"/>
  <c r="D55" i="4"/>
  <c r="C55" i="4"/>
  <c r="D52" i="4"/>
  <c r="J52" i="4" s="1"/>
  <c r="C52" i="4"/>
  <c r="D51" i="4"/>
  <c r="C51" i="4"/>
  <c r="D50" i="4"/>
  <c r="C50" i="4"/>
  <c r="D49" i="4"/>
  <c r="C49" i="4"/>
  <c r="D48" i="4"/>
  <c r="C48" i="4"/>
  <c r="D47" i="4"/>
  <c r="C47" i="4"/>
  <c r="K47" i="4" s="1"/>
  <c r="D45" i="4"/>
  <c r="C45" i="4"/>
  <c r="D44" i="4"/>
  <c r="C44" i="4"/>
  <c r="D43" i="4"/>
  <c r="C43" i="4"/>
  <c r="D42" i="4"/>
  <c r="C42" i="4"/>
  <c r="D41" i="4"/>
  <c r="C41" i="4"/>
  <c r="D40" i="4"/>
  <c r="C40" i="4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J11" i="4" s="1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6" i="4"/>
  <c r="H6" i="4"/>
  <c r="G6" i="4"/>
  <c r="F6" i="4"/>
  <c r="E6" i="4"/>
  <c r="D6" i="4"/>
  <c r="C6" i="4"/>
  <c r="K94" i="4"/>
  <c r="J94" i="4"/>
  <c r="J96" i="4"/>
  <c r="J95" i="4"/>
  <c r="K95" i="4"/>
  <c r="K96" i="4"/>
  <c r="D119" i="5"/>
  <c r="B61" i="5" s="1"/>
  <c r="J50" i="4"/>
  <c r="J17" i="4"/>
  <c r="J6" i="4"/>
  <c r="J42" i="4"/>
  <c r="J26" i="4"/>
  <c r="J29" i="4"/>
  <c r="J38" i="4"/>
  <c r="J27" i="4"/>
  <c r="D75" i="4"/>
  <c r="J18" i="4"/>
  <c r="J45" i="4"/>
  <c r="J33" i="4"/>
  <c r="J40" i="4"/>
  <c r="J16" i="4"/>
  <c r="J37" i="4"/>
  <c r="J25" i="4"/>
  <c r="J20" i="4"/>
  <c r="J13" i="4"/>
  <c r="J9" i="4"/>
  <c r="J30" i="4"/>
  <c r="J28" i="4"/>
  <c r="J44" i="4"/>
  <c r="J19" i="4"/>
  <c r="J32" i="4"/>
  <c r="J41" i="4"/>
  <c r="J14" i="4"/>
  <c r="J36" i="4"/>
  <c r="J39" i="4"/>
  <c r="J8" i="4"/>
  <c r="J24" i="4"/>
  <c r="J31" i="4"/>
  <c r="J35" i="4"/>
  <c r="J43" i="4"/>
  <c r="J12" i="4"/>
  <c r="J47" i="4"/>
  <c r="J51" i="4"/>
  <c r="J15" i="4"/>
  <c r="J10" i="4"/>
  <c r="D54" i="4"/>
  <c r="J54" i="4" s="1"/>
  <c r="J48" i="4"/>
  <c r="J34" i="4"/>
  <c r="J49" i="4"/>
  <c r="K14" i="4"/>
  <c r="H7" i="4"/>
  <c r="H21" i="4" s="1"/>
  <c r="H54" i="4"/>
  <c r="H56" i="4" s="1"/>
  <c r="K10" i="4"/>
  <c r="D117" i="4"/>
  <c r="B58" i="4" s="1"/>
  <c r="F54" i="4"/>
  <c r="F56" i="4"/>
  <c r="F7" i="4"/>
  <c r="K8" i="4"/>
  <c r="K12" i="4"/>
  <c r="K16" i="4"/>
  <c r="K20" i="4"/>
  <c r="D23" i="4"/>
  <c r="D22" i="4" s="1"/>
  <c r="D46" i="4"/>
  <c r="J46" i="4" s="1"/>
  <c r="E68" i="4"/>
  <c r="E74" i="4"/>
  <c r="I68" i="4"/>
  <c r="I74" i="4" s="1"/>
  <c r="K67" i="4"/>
  <c r="K72" i="4"/>
  <c r="E81" i="4"/>
  <c r="I81" i="4"/>
  <c r="K86" i="4"/>
  <c r="K88" i="4"/>
  <c r="K90" i="4"/>
  <c r="K92" i="4"/>
  <c r="K98" i="4"/>
  <c r="K100" i="4"/>
  <c r="K102" i="4"/>
  <c r="K6" i="4"/>
  <c r="C75" i="4"/>
  <c r="C54" i="4"/>
  <c r="K54" i="4" s="1"/>
  <c r="G54" i="4"/>
  <c r="G56" i="4" s="1"/>
  <c r="G7" i="4"/>
  <c r="G21" i="4" s="1"/>
  <c r="K11" i="4"/>
  <c r="K15" i="4"/>
  <c r="K19" i="4"/>
  <c r="K25" i="4"/>
  <c r="K27" i="4"/>
  <c r="K29" i="4"/>
  <c r="K31" i="4"/>
  <c r="K33" i="4"/>
  <c r="K35" i="4"/>
  <c r="K37" i="4"/>
  <c r="K39" i="4"/>
  <c r="K41" i="4"/>
  <c r="K43" i="4"/>
  <c r="K45" i="4"/>
  <c r="K48" i="4"/>
  <c r="K50" i="4"/>
  <c r="K52" i="4"/>
  <c r="F68" i="4"/>
  <c r="F74" i="4" s="1"/>
  <c r="K66" i="4"/>
  <c r="K71" i="4"/>
  <c r="F81" i="4"/>
  <c r="K80" i="4"/>
  <c r="J86" i="4"/>
  <c r="J90" i="4"/>
  <c r="J87" i="4"/>
  <c r="J91" i="4"/>
  <c r="J92" i="4"/>
  <c r="J88" i="4"/>
  <c r="J89" i="4"/>
  <c r="J93" i="4"/>
  <c r="K18" i="4"/>
  <c r="C68" i="4"/>
  <c r="K65" i="4"/>
  <c r="G68" i="4"/>
  <c r="G74" i="4" s="1"/>
  <c r="K70" i="4"/>
  <c r="K79" i="4"/>
  <c r="C81" i="4"/>
  <c r="G81" i="4"/>
  <c r="K87" i="4"/>
  <c r="K89" i="4"/>
  <c r="K91" i="4"/>
  <c r="K93" i="4"/>
  <c r="K97" i="4"/>
  <c r="K99" i="4"/>
  <c r="K101" i="4"/>
  <c r="E54" i="4"/>
  <c r="E56" i="4" s="1"/>
  <c r="E7" i="4"/>
  <c r="E21" i="4" s="1"/>
  <c r="I7" i="4"/>
  <c r="I21" i="4"/>
  <c r="I54" i="4"/>
  <c r="I56" i="4" s="1"/>
  <c r="K9" i="4"/>
  <c r="K13" i="4"/>
  <c r="K17" i="4"/>
  <c r="C23" i="4"/>
  <c r="C22" i="4" s="1"/>
  <c r="K24" i="4"/>
  <c r="K26" i="4"/>
  <c r="K28" i="4"/>
  <c r="K30" i="4"/>
  <c r="K32" i="4"/>
  <c r="K34" i="4"/>
  <c r="K36" i="4"/>
  <c r="K38" i="4"/>
  <c r="K40" i="4"/>
  <c r="K42" i="4"/>
  <c r="K44" i="4"/>
  <c r="C46" i="4"/>
  <c r="K49" i="4"/>
  <c r="K51" i="4"/>
  <c r="K55" i="4"/>
  <c r="J66" i="4"/>
  <c r="J70" i="4"/>
  <c r="J69" i="4"/>
  <c r="J73" i="4"/>
  <c r="J67" i="4"/>
  <c r="D68" i="4"/>
  <c r="J68" i="4" s="1"/>
  <c r="D74" i="4"/>
  <c r="J74" i="4" s="1"/>
  <c r="J71" i="4"/>
  <c r="J65" i="4"/>
  <c r="J72" i="4"/>
  <c r="H68" i="4"/>
  <c r="H74" i="4" s="1"/>
  <c r="K69" i="4"/>
  <c r="K73" i="4"/>
  <c r="J80" i="4"/>
  <c r="J79" i="4"/>
  <c r="D81" i="4"/>
  <c r="J81" i="4" s="1"/>
  <c r="H81" i="4"/>
  <c r="J100" i="4"/>
  <c r="J97" i="4"/>
  <c r="J99" i="4"/>
  <c r="J102" i="4"/>
  <c r="J101" i="4"/>
  <c r="J98" i="4"/>
  <c r="C74" i="4"/>
  <c r="C56" i="4"/>
  <c r="D56" i="4"/>
  <c r="D76" i="4"/>
  <c r="J55" i="4"/>
  <c r="J56" i="4"/>
  <c r="F21" i="4" l="1"/>
  <c r="B1" i="5"/>
  <c r="B84" i="5"/>
  <c r="B1" i="4"/>
  <c r="B82" i="4"/>
  <c r="K81" i="4"/>
  <c r="K74" i="4"/>
  <c r="K68" i="4"/>
  <c r="K56" i="4"/>
  <c r="K46" i="4"/>
  <c r="C7" i="4"/>
  <c r="C21" i="4" s="1"/>
  <c r="J23" i="4"/>
  <c r="K23" i="4"/>
  <c r="J22" i="4"/>
  <c r="D7" i="4"/>
  <c r="L7" i="4" s="1"/>
  <c r="K22" i="4"/>
  <c r="C76" i="4"/>
  <c r="L17" i="4" l="1"/>
  <c r="L10" i="4"/>
  <c r="L9" i="4"/>
  <c r="L18" i="4"/>
  <c r="K7" i="4"/>
  <c r="L15" i="4"/>
  <c r="J7" i="4"/>
  <c r="L16" i="4"/>
  <c r="L8" i="4"/>
  <c r="L14" i="4"/>
  <c r="D21" i="4"/>
  <c r="L20" i="4"/>
  <c r="L12" i="4"/>
  <c r="L13" i="4"/>
  <c r="L11" i="4"/>
  <c r="L19" i="4"/>
  <c r="J21" i="4" l="1"/>
  <c r="L21" i="4"/>
  <c r="K21" i="4"/>
</calcChain>
</file>

<file path=xl/sharedStrings.xml><?xml version="1.0" encoding="utf-8"?>
<sst xmlns="http://schemas.openxmlformats.org/spreadsheetml/2006/main" count="873" uniqueCount="431">
  <si>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</si>
  <si>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</si>
  <si>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</si>
  <si>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</si>
  <si>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</si>
  <si>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</si>
  <si>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</si>
  <si>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</si>
  <si>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</si>
  <si>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</si>
  <si>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</si>
  <si>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</si>
  <si>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A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</si>
  <si>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</si>
  <si>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</si>
  <si>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</si>
  <si>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</si>
  <si>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</si>
  <si>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</si>
  <si>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</si>
  <si>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</si>
  <si>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</si>
  <si>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</si>
  <si>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</si>
  <si>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</si>
  <si>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</si>
  <si>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</si>
  <si>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</si>
  <si>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</si>
  <si>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</si>
  <si>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</si>
  <si>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</si>
  <si>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</si>
  <si>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</si>
  <si>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</si>
  <si>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</si>
  <si>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</si>
  <si>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</si>
  <si>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</si>
  <si>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</si>
  <si>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Zobowiązania wg stanu na koniec 
okresu sprawozdawczego</t>
  </si>
  <si>
    <t>w tym:   wydatki na inwestycje</t>
  </si>
  <si>
    <t xml:space="preserve">wydatki majątkowe      </t>
  </si>
  <si>
    <t>B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</si>
  <si>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</si>
  <si>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</si>
  <si>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</si>
  <si>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</si>
  <si>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</si>
  <si>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</si>
  <si>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</si>
  <si>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</si>
  <si>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</si>
  <si>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C</t>
  </si>
  <si>
    <t xml:space="preserve">WYNIK  </t>
  </si>
  <si>
    <t>Wyszczególnienie</t>
  </si>
  <si>
    <t>Plan (po zmianach)</t>
  </si>
  <si>
    <t>D1</t>
  </si>
  <si>
    <t>D11</t>
  </si>
  <si>
    <t>D12</t>
  </si>
  <si>
    <t>D13</t>
  </si>
  <si>
    <t>D14</t>
  </si>
  <si>
    <t>D15</t>
  </si>
  <si>
    <t>D16</t>
  </si>
  <si>
    <t>D2</t>
  </si>
  <si>
    <t>D21</t>
  </si>
  <si>
    <t>D22</t>
  </si>
  <si>
    <t>Wskaźnik 
(3:2)</t>
  </si>
  <si>
    <t>A28</t>
  </si>
  <si>
    <t>A29</t>
  </si>
  <si>
    <t xml:space="preserve">podatek dochodowy od osób fizycznych 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</si>
  <si>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</si>
  <si>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</si>
  <si>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</si>
  <si>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</si>
  <si>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</si>
  <si>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</si>
  <si>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A1/A</t>
  </si>
  <si>
    <t>A2/A</t>
  </si>
  <si>
    <t>A3/A</t>
  </si>
  <si>
    <t>A4/A</t>
  </si>
  <si>
    <t>A5/A</t>
  </si>
  <si>
    <t>A6/A</t>
  </si>
  <si>
    <t>A7/A</t>
  </si>
  <si>
    <t>A8/A</t>
  </si>
  <si>
    <t>A9/A</t>
  </si>
  <si>
    <t>A10/A</t>
  </si>
  <si>
    <t>A11/A</t>
  </si>
  <si>
    <t>A12/A</t>
  </si>
  <si>
    <t>A13/A</t>
  </si>
  <si>
    <t>A14/A</t>
  </si>
  <si>
    <t>A15/A</t>
  </si>
  <si>
    <t>A16/A</t>
  </si>
  <si>
    <t>A17/A</t>
  </si>
  <si>
    <t>A18/A</t>
  </si>
  <si>
    <t>A19/A</t>
  </si>
  <si>
    <t>A20/A</t>
  </si>
  <si>
    <t>A21/A</t>
  </si>
  <si>
    <t>A22/A</t>
  </si>
  <si>
    <t>A23/A</t>
  </si>
  <si>
    <t>A24/A</t>
  </si>
  <si>
    <t>A25/A</t>
  </si>
  <si>
    <t>A26/A</t>
  </si>
  <si>
    <t>A27/A</t>
  </si>
  <si>
    <t>A28/A</t>
  </si>
  <si>
    <t>A29/A</t>
  </si>
  <si>
    <t>R4/R1</t>
  </si>
  <si>
    <t>A2/A1</t>
  </si>
  <si>
    <t>A3/A1</t>
  </si>
  <si>
    <t>A4/A1</t>
  </si>
  <si>
    <t>A5/A1</t>
  </si>
  <si>
    <t>A6/A1</t>
  </si>
  <si>
    <t>A7/A1</t>
  </si>
  <si>
    <t>A8/A1</t>
  </si>
  <si>
    <t>A9/A1</t>
  </si>
  <si>
    <t>A10/A1</t>
  </si>
  <si>
    <t>A11/A1</t>
  </si>
  <si>
    <t>A12/A1</t>
  </si>
  <si>
    <t>A13/A1</t>
  </si>
  <si>
    <t>A14/A1</t>
  </si>
  <si>
    <t>B1/B</t>
  </si>
  <si>
    <t>B2/B</t>
  </si>
  <si>
    <t>B3/B</t>
  </si>
  <si>
    <t>B4/B</t>
  </si>
  <si>
    <t>B5/B</t>
  </si>
  <si>
    <t>B6/B</t>
  </si>
  <si>
    <t>B7/B</t>
  </si>
  <si>
    <t>B8/B</t>
  </si>
  <si>
    <t>B9/B</t>
  </si>
  <si>
    <t>C=A-B</t>
  </si>
  <si>
    <t>DW</t>
  </si>
  <si>
    <t>B3=B-B1</t>
  </si>
  <si>
    <t>Struktura</t>
  </si>
  <si>
    <t>Wskaźnik</t>
  </si>
  <si>
    <t>D1W/D1P</t>
  </si>
  <si>
    <t>D11W/D1W</t>
  </si>
  <si>
    <t>D11W/D11P</t>
  </si>
  <si>
    <t>D12W/D1W</t>
  </si>
  <si>
    <t>D12W/D12P</t>
  </si>
  <si>
    <t>D13W/D1W</t>
  </si>
  <si>
    <t>D13W/D13P</t>
  </si>
  <si>
    <t>D14W/D1W</t>
  </si>
  <si>
    <t>D14W/D14P</t>
  </si>
  <si>
    <t>D15W/D1W</t>
  </si>
  <si>
    <t>D15W/D15P</t>
  </si>
  <si>
    <t>D16W/D1W</t>
  </si>
  <si>
    <t>D16W/D16P</t>
  </si>
  <si>
    <t>D21W/D2W</t>
  </si>
  <si>
    <t>D21W/D21P</t>
  </si>
  <si>
    <t>D22W/D2W</t>
  </si>
  <si>
    <t>D22W/D22P</t>
  </si>
  <si>
    <t xml:space="preserve">podatek od spadków i darowizn       </t>
  </si>
  <si>
    <t>podatek od czynności cywilnoprawnych</t>
  </si>
  <si>
    <t xml:space="preserve">wpływy z opłaty skarbowej        </t>
  </si>
  <si>
    <t>wpływy z opłaty eksploatacyjnej</t>
  </si>
  <si>
    <t>wpływy z opłaty targowej</t>
  </si>
  <si>
    <t>A30</t>
  </si>
  <si>
    <t>A30/A</t>
  </si>
  <si>
    <t>A15/A1</t>
  </si>
  <si>
    <t>A15=A1-A2-A3-A4-A5-A6-A7-A8-A9-A10-A11-A12-A13-A14</t>
  </si>
  <si>
    <t>D2W/D2P</t>
  </si>
  <si>
    <t>A31</t>
  </si>
  <si>
    <t>A32</t>
  </si>
  <si>
    <t>A31/A</t>
  </si>
  <si>
    <t>A32/A</t>
  </si>
  <si>
    <t>D111</t>
  </si>
  <si>
    <t>na realizację programów i projektów realizowanych z udziałem środków pochodzących z funduszy strukturalnych i Funduszu Spójności UE, w tym:</t>
  </si>
  <si>
    <t>D111W/D1W</t>
  </si>
  <si>
    <t>D111W/D111P</t>
  </si>
  <si>
    <t xml:space="preserve">  spłaty pożyczek udzielonych</t>
  </si>
  <si>
    <t xml:space="preserve">  nadwyżka z lat ubiegłych</t>
  </si>
  <si>
    <t xml:space="preserve">  papiery wartościowe</t>
  </si>
  <si>
    <t xml:space="preserve">  obligacje j.s.t. oraz związków komunalnych</t>
  </si>
  <si>
    <t xml:space="preserve">  prywatyzacja majątku j.s.t.</t>
  </si>
  <si>
    <t xml:space="preserve"> ROZCHODY OGÓŁEM     z tego:</t>
  </si>
  <si>
    <t xml:space="preserve">  spłaty kredytów i pożyczek</t>
  </si>
  <si>
    <t>D211</t>
  </si>
  <si>
    <t>D211W/D2W</t>
  </si>
  <si>
    <t>D211W/D211P</t>
  </si>
  <si>
    <t xml:space="preserve">  pożyczki</t>
  </si>
  <si>
    <t xml:space="preserve">  wykup obligacji samorządowych</t>
  </si>
  <si>
    <t>w tym wymagalne:</t>
  </si>
  <si>
    <t xml:space="preserve">podatek dochodowy od osób prawnych </t>
  </si>
  <si>
    <t>Wskaźnik 
(4:2)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</si>
  <si>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</si>
  <si>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</si>
  <si>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</si>
  <si>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</si>
  <si>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</si>
  <si>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</si>
  <si>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</si>
  <si>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</si>
  <si>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</si>
  <si>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</si>
  <si>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</si>
  <si>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</si>
  <si>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</si>
  <si>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</si>
  <si>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</si>
  <si>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</si>
  <si>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</si>
  <si>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</si>
  <si>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t>B=Σ§§</t>
  </si>
  <si>
    <t>PL</t>
  </si>
  <si>
    <t>SO</t>
  </si>
  <si>
    <t>SU</t>
  </si>
  <si>
    <t>PO</t>
  </si>
  <si>
    <t>UZ</t>
  </si>
  <si>
    <t>OT</t>
  </si>
  <si>
    <t>A = Σ §§</t>
  </si>
  <si>
    <t>ZA</t>
  </si>
  <si>
    <t>WW</t>
  </si>
  <si>
    <t>ZO</t>
  </si>
  <si>
    <t>LU</t>
  </si>
  <si>
    <t>RB</t>
  </si>
  <si>
    <t>WN</t>
  </si>
  <si>
    <t>P</t>
  </si>
  <si>
    <t>W</t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</si>
  <si>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</si>
  <si>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</si>
  <si>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</si>
  <si>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</si>
  <si>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część regionalna</t>
  </si>
  <si>
    <t>A33</t>
  </si>
  <si>
    <t>A33/A</t>
  </si>
  <si>
    <t>#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</si>
  <si>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</si>
  <si>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</si>
  <si>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</si>
  <si>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</si>
  <si>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</si>
  <si>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</si>
  <si>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</si>
  <si>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</si>
  <si>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</si>
  <si>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</si>
  <si>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Symbol=D1</t>
  </si>
  <si>
    <t>Symbol=D11</t>
  </si>
  <si>
    <t>Symbol=D111</t>
  </si>
  <si>
    <t>Symbol=D12</t>
  </si>
  <si>
    <t>Symbol=D13</t>
  </si>
  <si>
    <t>Symbol=D14</t>
  </si>
  <si>
    <t>Symbol=D15</t>
  </si>
  <si>
    <t>Symbol=D16</t>
  </si>
  <si>
    <t>Symbol=D2</t>
  </si>
  <si>
    <t>Symbol=D21</t>
  </si>
  <si>
    <t>Symbol=D211</t>
  </si>
  <si>
    <t>Symbol=D22</t>
  </si>
  <si>
    <t>paragraf zawiera(002)</t>
  </si>
  <si>
    <t>paragraf zawiera(001)</t>
  </si>
  <si>
    <t>paragraf zawiera(032)</t>
  </si>
  <si>
    <t>paragraf zawiera(031)</t>
  </si>
  <si>
    <t>paragraf zawiera(033)</t>
  </si>
  <si>
    <t>paragraf zawiera(034)</t>
  </si>
  <si>
    <t>paragraf zawiera(035)</t>
  </si>
  <si>
    <t>paragraf zawiera(036)</t>
  </si>
  <si>
    <t>paragraf zawiera(050)</t>
  </si>
  <si>
    <t>paragraf zawiera(041)</t>
  </si>
  <si>
    <t>paragraf zawiera(046)</t>
  </si>
  <si>
    <t>paragraf zawiera(043)</t>
  </si>
  <si>
    <t>paragraf zawiera(202,212,222,632,642,652)</t>
  </si>
  <si>
    <t>paragraf zawiera(632,642,652)</t>
  </si>
  <si>
    <t>paragraf zawiera(231,232,233,288,661,662,663,664)</t>
  </si>
  <si>
    <t>paragraf zawiera(661,662,663,664)</t>
  </si>
  <si>
    <t>paragraf zawiera(244,626)</t>
  </si>
  <si>
    <t>paragraf zawiera(626)</t>
  </si>
  <si>
    <t>paragraf zawiera(292) i dzial zawiera(758) i rozdzial zawiera(75803,75804,75807)</t>
  </si>
  <si>
    <t>paragraf zawiera(292) i dzial zawiera(758) i rozdzial zawiera(75801)</t>
  </si>
  <si>
    <t>paragraf zawiera(292) i dzial zawiera(758) i rozdzial zawiera(75805)</t>
  </si>
  <si>
    <t>paragraf zawiera(292) i dzial zawiera(758) i rozdzial zawiera(75831,75832)</t>
  </si>
  <si>
    <t>paragraf zawiera(292) i dzial zawiera(758) i rozdzial zawiera(75833)</t>
  </si>
  <si>
    <t>wydatki z tytułu udzielania poręczeń i gwarancji</t>
  </si>
  <si>
    <t>D23</t>
  </si>
  <si>
    <t>Symbol=D23</t>
  </si>
  <si>
    <t>D23W/D23P</t>
  </si>
  <si>
    <t>D23W/D2W</t>
  </si>
  <si>
    <t>paragraf zawiera(620)</t>
  </si>
  <si>
    <t>paragraf zawiera(200,620)</t>
  </si>
  <si>
    <t>A34</t>
  </si>
  <si>
    <t>A35</t>
  </si>
  <si>
    <t>A34/A</t>
  </si>
  <si>
    <t>A35/A</t>
  </si>
  <si>
    <t>Dotacje ogółem             z tego:</t>
  </si>
  <si>
    <t>A36</t>
  </si>
  <si>
    <t>A36/A</t>
  </si>
  <si>
    <t>świadczenia na rzecz osób fizycznych</t>
  </si>
  <si>
    <r>
      <t xml:space="preserve">Dotacje </t>
    </r>
    <r>
      <rPr>
        <b/>
        <sz val="10"/>
        <color indexed="8"/>
        <rFont val="Arial"/>
        <charset val="238"/>
      </rPr>
      <t>§§ 200 i 620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</si>
  <si>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620</t>
    </r>
  </si>
  <si>
    <t xml:space="preserve">wydatki bieżące 
</t>
  </si>
  <si>
    <t>UE</t>
  </si>
  <si>
    <t>UE1</t>
  </si>
  <si>
    <t>UE2</t>
  </si>
  <si>
    <t>UE2=UE-UE1</t>
  </si>
  <si>
    <t>UE1/UE</t>
  </si>
  <si>
    <t>UE2/UE</t>
  </si>
  <si>
    <t>WYDATKI OGÓŁEM UE
z tego:</t>
  </si>
  <si>
    <t>AM</t>
  </si>
  <si>
    <t>majątkowe</t>
  </si>
  <si>
    <t>AM/A</t>
  </si>
  <si>
    <t>AB</t>
  </si>
  <si>
    <t>bieżące</t>
  </si>
  <si>
    <t>AB=A-AM</t>
  </si>
  <si>
    <t>AB/A</t>
  </si>
  <si>
    <t>wydatki majątkowe</t>
  </si>
  <si>
    <t>wydatki bieżące</t>
  </si>
  <si>
    <t>w złotych</t>
  </si>
  <si>
    <t>paragraf zawiera(630)</t>
  </si>
  <si>
    <t>A37</t>
  </si>
  <si>
    <t>A38</t>
  </si>
  <si>
    <t>A37/A</t>
  </si>
  <si>
    <t>A38/A</t>
  </si>
  <si>
    <t>z tytułu pomocy finansowej udzielanej między jst na dofinansowanie własnych zadań</t>
  </si>
  <si>
    <t xml:space="preserve"> E</t>
  </si>
  <si>
    <t>FINANSOWANIE DEFICYTU (E1+E2+E3+E4+E5)  z tego:</t>
  </si>
  <si>
    <t>Symbol=E</t>
  </si>
  <si>
    <t xml:space="preserve"> E1</t>
  </si>
  <si>
    <t>sprzedaż papierów wartościowych wyemitowanych przez jednostkę samorządu terytorialnego</t>
  </si>
  <si>
    <t>Symbol=E1</t>
  </si>
  <si>
    <t xml:space="preserve"> E2</t>
  </si>
  <si>
    <t>kredyty i pożyczki</t>
  </si>
  <si>
    <t>Symbol=E2</t>
  </si>
  <si>
    <t xml:space="preserve"> E3</t>
  </si>
  <si>
    <t>prywatyzacja majątku jednostki samorządu terytorialnego</t>
  </si>
  <si>
    <t>Symbol=E3</t>
  </si>
  <si>
    <t xml:space="preserve"> E4</t>
  </si>
  <si>
    <t>Symbol=E4</t>
  </si>
  <si>
    <t xml:space="preserve"> E5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</si>
  <si>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</si>
  <si>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Symbol=E5</t>
  </si>
  <si>
    <r>
      <t xml:space="preserve">Dotacje </t>
    </r>
    <r>
      <rPr>
        <b/>
        <sz val="10"/>
        <color indexed="8"/>
        <rFont val="Arial"/>
        <charset val="238"/>
      </rPr>
      <t>§§ 205 i 625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</si>
  <si>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625</t>
    </r>
  </si>
  <si>
    <t>paragraf zawiera(205,625)</t>
  </si>
  <si>
    <t>paragraf zawiera(625)</t>
  </si>
  <si>
    <t>A39</t>
  </si>
  <si>
    <t>A40</t>
  </si>
  <si>
    <t>A39/A</t>
  </si>
  <si>
    <t>A40/A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</si>
  <si>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</si>
  <si>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paragraf zawiera(073,074,075,076,077,078,080,081,087)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</si>
  <si>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</si>
  <si>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</si>
  <si>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</si>
  <si>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</si>
  <si>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 , o których mowa w art. 217 ust.2 pkt 6 ustawy o finansach publicznych</t>
  </si>
  <si>
    <t>spłaty kredytów i pożyczek, wykup papierów wartościowych w tym:</t>
  </si>
  <si>
    <t>wykup papierów wartościowych</t>
  </si>
  <si>
    <t>paragraf zawiera(271,278,630)</t>
  </si>
  <si>
    <t>paragraf zawiera(802,803) lub grupa zawiera(1800)</t>
  </si>
  <si>
    <t>B9=B3-B4-B5-B6-B7-B8</t>
  </si>
  <si>
    <t>paragraf zawiera(801,804,806,807,809,811,812,813) lub grupa zawiera(1810)</t>
  </si>
  <si>
    <t>finpar zawiera(1,2,5,6,7,8,9) lub grupa zawiera(1101,1102,1201,1202,1301,1302,1401,1402,1601,1602,1611,1612)</t>
  </si>
  <si>
    <t>A41</t>
  </si>
  <si>
    <t>A42</t>
  </si>
  <si>
    <t>otrzymane ze środków z Funduszu Przeciwdziałania COVID-19 (m.in.. z Rządowego Funduszu Inwestycji Lokalnych)</t>
  </si>
  <si>
    <t>A41/A</t>
  </si>
  <si>
    <t>A42/A</t>
  </si>
  <si>
    <t>paragraf zawiera (273, 656)</t>
  </si>
  <si>
    <t>w tym: inwestycyjne</t>
  </si>
  <si>
    <t>paragraf zawiera (656)</t>
  </si>
  <si>
    <t>A43</t>
  </si>
  <si>
    <t>A44</t>
  </si>
  <si>
    <t>A16=A17+A34+A36</t>
  </si>
  <si>
    <t>A38=A39+A40+A41+A42+A43+A44</t>
  </si>
  <si>
    <t>A1=A-A16-A38</t>
  </si>
  <si>
    <t xml:space="preserve"> E6</t>
  </si>
  <si>
    <t xml:space="preserve"> E7</t>
  </si>
  <si>
    <t>Symbol=E6</t>
  </si>
  <si>
    <t>Symbol=E7</t>
  </si>
  <si>
    <t>niewykorzystane środki pieniężne na rachunku bieżącym budżetu,
wynikające z rozliczenia dochodów i wydatków nimi finansowanych
związanych ze szczególnymi zasadami wykonywania budżetu
określonymi w odrębnych ustawach oraz wynikających z rozliczenia
środków określonych w art. 5 ust. 1 pkt 2 ustawy o finansach
publicznych i dotacji na realizację programu, projektu lub zadania
finansowanego z udziałem tych środków</t>
  </si>
  <si>
    <t>spłaty udzielonych pożyczek w latach ubiegłych</t>
  </si>
  <si>
    <t>na finansowanie lub dofinansowanie zadań inwestycyjnych obiektów zabytkowych oraz prac remontowych i konserwatorskich przy zabytkach</t>
  </si>
  <si>
    <t>A43/A</t>
  </si>
  <si>
    <t>A44/A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</si>
  <si>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</si>
  <si>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</si>
  <si>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</si>
  <si>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</si>
  <si>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</si>
  <si>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</si>
  <si>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Dotacje ogółem 
z tego:</t>
  </si>
  <si>
    <t>Dochody bieżące 
minus 
wydatki bieżące</t>
  </si>
  <si>
    <t>paragraf zawiera(201,206,208,211,216,221,631,634,641,644,651,671)</t>
  </si>
  <si>
    <t>paragraf zawiera(631,634,641,644,651,671)</t>
  </si>
  <si>
    <t>paragraf zawiera(203,204,207,213,223,287,633,643,653,670)</t>
  </si>
  <si>
    <t>paragraf zawiera(633,643,653,670)</t>
  </si>
  <si>
    <t>paragraf zawiera(218,609,610,637)</t>
  </si>
  <si>
    <t>paragraf zawiera(609,610,637)</t>
  </si>
  <si>
    <t>otrzymane z Funduszu Pomocy lub z innych środków (*)</t>
  </si>
  <si>
    <t>paragraf zawiera(210,638,253,639)</t>
  </si>
  <si>
    <t>paragraf zawiera(638,639)</t>
  </si>
  <si>
    <t>AUkr</t>
  </si>
  <si>
    <t>AUkrinw</t>
  </si>
  <si>
    <t>AUkr/A</t>
  </si>
  <si>
    <t>Aukrinw/A</t>
  </si>
  <si>
    <t>paragraf zawiera(275,276,277,279,618) i dzial zawiera(758) i rozdzial zawiera(75802,75819)</t>
  </si>
  <si>
    <t>paragraf zawiera(076,077,078,080,087,609,610,618,620,625,626,628,629,630,631,632,633,634,635,637,638,639,641,642,643,644,651,652,653,656,661,662,663,664,665,666,668,669,670,671)</t>
  </si>
  <si>
    <t>paragraf zawiera(601,603,605,606,610,613,614,615,617,619,620,621,622,623,625,630,637,647,648,649,656,657,658,659,661,662,663,664,665,666,669,672,680) lub grupa zawiera(1600,1601,1602,1610,1611,1612,1620,1630)</t>
  </si>
  <si>
    <t>paragraf zawiera(605,606,610,613,614,615,617,619,620,621,622,623,625,630,637,647,648,649,656,657,658,659,661,662,663,664,665,666,669,672,680) lub grupa zawiera(1600,1601,1602,1610,1611,1612)</t>
  </si>
  <si>
    <t>paragraf zawiera(401,402,404,405,406,407,408,409,410,411,412,417,418,471,474,475,478,479,480,483,484,485) lub grupa zawiera(1400,1401,1402,1403)</t>
  </si>
  <si>
    <t>paragraf zawiera(200,205,209,220,226,227,231,232,233,234,236,241,243,248,249,251,254,255,256,257,258,259,262,263,264,265,266,271,272,273,274,278,280,281,282,283,288,290) lub grupa zawiera(1200,1201,1202,1203)</t>
  </si>
  <si>
    <t>paragraf zawiera(302,303,304,305,307,311,320,321,324,325,326,328,329) lub grupa zawiera(1300,1301,1302,1303)</t>
  </si>
  <si>
    <t xml:space="preserve">Wydatki finansowane i współfinansowane środkami, o których mowa w art. 5 ust. 1 pkt 2 i 3  </t>
  </si>
  <si>
    <t>paragraf zawiera(601,603,605,606,610,613,614,615,617,619,620,621,622,623,625,630,637,647,648,649,656,657,658,659,661,662,663,664,665,666,669,672,680) i finpar zawiera(1,2,5,6,7,8,9) lub grupa zawiera (1601,1602,1611,1612)</t>
  </si>
  <si>
    <t>(*) na finansowanie lub dofinansowanie realizacji zadań w zakresie pomocy obywatelom Ukrainy</t>
  </si>
  <si>
    <t>WYDATKI Z UDZIAŁEM ŚRODKÓW, O KTÓRYCH MOWA W ART. 5 UST. 1 pkt 2</t>
  </si>
  <si>
    <t>A17=A18+A20+A22+A24+A26+A28+A30+A32+AUkr</t>
  </si>
  <si>
    <t>kredyty, pożyczki, emisja papierów wartościowych 
w tym:</t>
  </si>
  <si>
    <t>stan niespłaconych na koniec okresu sprawozdawczego zobowiązań przeznaczonych na cel, o którym mowa w art. 89 ust. 1 pkt 1 ustawy o finansach publicznych</t>
  </si>
  <si>
    <t>inne źródła, w tym:</t>
  </si>
  <si>
    <t>środki z lokat dokonanych w latach ubiegłych</t>
  </si>
  <si>
    <t>inne cele, w tym:</t>
  </si>
  <si>
    <t>lokaty na okres wykraczający poza rok budżetowy</t>
  </si>
  <si>
    <t>FINANSOWANIE DEFICYTU (E1+E2+E3+E4+E5+E6+E7+E8)  
z tego:</t>
  </si>
  <si>
    <t xml:space="preserve"> E8</t>
  </si>
  <si>
    <t>Symbol=E8</t>
  </si>
  <si>
    <t>Symbol=D17</t>
  </si>
  <si>
    <t>D17</t>
  </si>
  <si>
    <t>D18</t>
  </si>
  <si>
    <t>D181</t>
  </si>
  <si>
    <t>Symbol=D18</t>
  </si>
  <si>
    <t>Symbol=D181</t>
  </si>
  <si>
    <t>D17W/D1W</t>
  </si>
  <si>
    <t>D17W/D17P</t>
  </si>
  <si>
    <t>D18W/D1W</t>
  </si>
  <si>
    <t>D18W/D18P</t>
  </si>
  <si>
    <t>D181W/D1W</t>
  </si>
  <si>
    <t>D181W/D181P</t>
  </si>
  <si>
    <t>D231</t>
  </si>
  <si>
    <t>Symbol=D231</t>
  </si>
  <si>
    <t>D231W/D2W</t>
  </si>
  <si>
    <t>D231W/D231P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</si>
</sst>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8" formatCode="dd/mm/yy\ h:mm;@"/>
  </numFmts>
  <fonts count="38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6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8"/>
      <color indexed="62"/>
      <name val="Cambri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color indexed="8"/>
      <name val="Arial"/>
      <charset val="238"/>
    </font>
    <font>
      <sz val="8"/>
      <color indexed="8"/>
      <name val="Arial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3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1" applyNumberFormat="0" applyAlignment="0" applyProtection="0"/>
    <xf numFmtId="0" fontId="27" fillId="0" borderId="7" applyNumberFormat="0" applyFill="0" applyAlignment="0" applyProtection="0"/>
    <xf numFmtId="0" fontId="28" fillId="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35" fillId="0" borderId="0"/>
    <xf numFmtId="0" fontId="1" fillId="4" borderId="8" applyNumberFormat="0" applyFont="0" applyAlignment="0" applyProtection="0"/>
    <xf numFmtId="0" fontId="15" fillId="4" borderId="8" applyNumberFormat="0" applyFont="0" applyAlignment="0" applyProtection="0"/>
    <xf numFmtId="0" fontId="29" fillId="16" borderId="3" applyNumberFormat="0" applyAlignment="0" applyProtection="0"/>
    <xf numFmtId="0" fontId="14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</cellStyleXfs>
  <cellXfs count="232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6" fillId="0" borderId="0" xfId="0" applyFont="1" applyFill="1" applyAlignment="1">
      <alignment horizontal="left" vertical="center"/>
    </xf>
    <xf numFmtId="164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20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indent="1"/>
    </xf>
    <xf numFmtId="0" fontId="4" fillId="20" borderId="10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1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64" fontId="6" fillId="0" borderId="0" xfId="0" applyNumberFormat="1" applyFont="1"/>
    <xf numFmtId="164" fontId="6" fillId="0" borderId="0" xfId="0" applyNumberFormat="1" applyFont="1" applyFill="1"/>
    <xf numFmtId="4" fontId="4" fillId="0" borderId="10" xfId="0" applyNumberFormat="1" applyFont="1" applyBorder="1" applyAlignment="1">
      <alignment horizontal="right" vertical="center"/>
    </xf>
    <xf numFmtId="4" fontId="4" fillId="20" borderId="10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20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4" fontId="7" fillId="0" borderId="10" xfId="0" applyNumberFormat="1" applyFont="1" applyFill="1" applyBorder="1" applyAlignment="1">
      <alignment horizontal="right" vertical="center"/>
    </xf>
    <xf numFmtId="4" fontId="7" fillId="20" borderId="10" xfId="0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0" fontId="6" fillId="0" borderId="10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0" xfId="0" applyFont="1" applyBorder="1"/>
    <xf numFmtId="168" fontId="2" fillId="0" borderId="10" xfId="0" applyNumberFormat="1" applyFont="1" applyBorder="1"/>
    <xf numFmtId="164" fontId="13" fillId="20" borderId="10" xfId="0" applyNumberFormat="1" applyFont="1" applyFill="1" applyBorder="1" applyAlignment="1">
      <alignment horizontal="right" vertical="center"/>
    </xf>
    <xf numFmtId="164" fontId="4" fillId="0" borderId="10" xfId="0" applyNumberFormat="1" applyFont="1" applyFill="1" applyBorder="1" applyAlignment="1">
      <alignment horizontal="right" vertical="center"/>
    </xf>
    <xf numFmtId="164" fontId="6" fillId="0" borderId="10" xfId="0" applyNumberFormat="1" applyFont="1" applyFill="1" applyBorder="1" applyAlignment="1">
      <alignment horizontal="right" vertical="center"/>
    </xf>
    <xf numFmtId="164" fontId="11" fillId="20" borderId="10" xfId="0" applyNumberFormat="1" applyFont="1" applyFill="1" applyBorder="1" applyAlignment="1">
      <alignment horizontal="right" vertical="center"/>
    </xf>
    <xf numFmtId="4" fontId="4" fillId="20" borderId="0" xfId="0" applyNumberFormat="1" applyFont="1" applyFill="1" applyBorder="1" applyAlignment="1">
      <alignment horizontal="left" vertical="center"/>
    </xf>
    <xf numFmtId="4" fontId="4" fillId="20" borderId="0" xfId="0" applyNumberFormat="1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left" vertical="center" wrapText="1"/>
    </xf>
    <xf numFmtId="0" fontId="10" fillId="20" borderId="10" xfId="0" applyFont="1" applyFill="1" applyBorder="1" applyAlignment="1">
      <alignment horizontal="left" vertical="center" wrapText="1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4" fontId="11" fillId="20" borderId="10" xfId="29" applyNumberFormat="1" applyFont="1" applyFill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20" borderId="10" xfId="0" applyNumberFormat="1" applyFont="1" applyFill="1" applyBorder="1" applyAlignment="1">
      <alignment horizontal="center" vertical="center"/>
    </xf>
    <xf numFmtId="4" fontId="11" fillId="20" borderId="10" xfId="0" applyNumberFormat="1" applyFont="1" applyFill="1" applyBorder="1" applyAlignment="1">
      <alignment horizontal="center" vertical="center"/>
    </xf>
    <xf numFmtId="0" fontId="36" fillId="0" borderId="0" xfId="41" applyFont="1" applyAlignment="1">
      <alignment horizontal="center" vertical="center"/>
    </xf>
    <xf numFmtId="164" fontId="11" fillId="20" borderId="10" xfId="29" applyNumberFormat="1" applyFont="1" applyFill="1" applyBorder="1" applyAlignment="1">
      <alignment horizontal="right" vertical="center"/>
    </xf>
    <xf numFmtId="4" fontId="11" fillId="20" borderId="13" xfId="0" applyNumberFormat="1" applyFont="1" applyFill="1" applyBorder="1" applyAlignment="1">
      <alignment horizontal="right" vertical="center"/>
    </xf>
    <xf numFmtId="4" fontId="6" fillId="0" borderId="13" xfId="0" applyNumberFormat="1" applyFont="1" applyBorder="1" applyAlignment="1">
      <alignment horizontal="right" vertical="center"/>
    </xf>
    <xf numFmtId="4" fontId="6" fillId="20" borderId="13" xfId="0" applyNumberFormat="1" applyFont="1" applyFill="1" applyBorder="1" applyAlignment="1">
      <alignment horizontal="right" vertical="center"/>
    </xf>
    <xf numFmtId="4" fontId="6" fillId="22" borderId="13" xfId="0" applyNumberFormat="1" applyFont="1" applyFill="1" applyBorder="1" applyAlignment="1">
      <alignment horizontal="right" vertical="center"/>
    </xf>
    <xf numFmtId="0" fontId="36" fillId="23" borderId="10" xfId="41" applyFont="1" applyFill="1" applyBorder="1" applyAlignment="1">
      <alignment horizontal="left" vertical="center" wrapText="1"/>
    </xf>
    <xf numFmtId="164" fontId="11" fillId="22" borderId="10" xfId="29" applyNumberFormat="1" applyFont="1" applyFill="1" applyBorder="1" applyAlignment="1">
      <alignment horizontal="right" vertical="center"/>
    </xf>
    <xf numFmtId="164" fontId="11" fillId="22" borderId="10" xfId="0" applyNumberFormat="1" applyFont="1" applyFill="1" applyBorder="1" applyAlignment="1">
      <alignment horizontal="right" vertical="center"/>
    </xf>
    <xf numFmtId="164" fontId="11" fillId="23" borderId="10" xfId="0" applyNumberFormat="1" applyFont="1" applyFill="1" applyBorder="1" applyAlignment="1">
      <alignment horizontal="right" vertical="center"/>
    </xf>
    <xf numFmtId="0" fontId="10" fillId="20" borderId="10" xfId="0" applyFont="1" applyFill="1" applyBorder="1" applyAlignment="1">
      <alignment horizontal="center" vertical="center" wrapText="1"/>
    </xf>
    <xf numFmtId="4" fontId="11" fillId="20" borderId="10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 wrapText="1"/>
    </xf>
    <xf numFmtId="4" fontId="6" fillId="0" borderId="10" xfId="0" applyNumberFormat="1" applyFont="1" applyFill="1" applyBorder="1" applyAlignment="1">
      <alignment horizontal="right" vertical="center"/>
    </xf>
    <xf numFmtId="0" fontId="7" fillId="23" borderId="10" xfId="0" applyFont="1" applyFill="1" applyBorder="1" applyAlignment="1">
      <alignment horizontal="left" vertical="center" wrapText="1"/>
    </xf>
    <xf numFmtId="4" fontId="13" fillId="23" borderId="10" xfId="0" applyNumberFormat="1" applyFont="1" applyFill="1" applyBorder="1" applyAlignment="1">
      <alignment horizontal="right" vertical="center"/>
    </xf>
    <xf numFmtId="164" fontId="13" fillId="23" borderId="10" xfId="0" applyNumberFormat="1" applyFont="1" applyFill="1" applyBorder="1" applyAlignment="1">
      <alignment horizontal="right" vertical="center"/>
    </xf>
    <xf numFmtId="4" fontId="4" fillId="23" borderId="1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0" fontId="10" fillId="23" borderId="10" xfId="0" applyFont="1" applyFill="1" applyBorder="1" applyAlignment="1">
      <alignment horizontal="left" vertical="center" wrapText="1"/>
    </xf>
    <xf numFmtId="4" fontId="11" fillId="23" borderId="10" xfId="0" applyNumberFormat="1" applyFont="1" applyFill="1" applyBorder="1" applyAlignment="1">
      <alignment horizontal="right" vertical="center"/>
    </xf>
    <xf numFmtId="164" fontId="6" fillId="23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 wrapText="1"/>
    </xf>
    <xf numFmtId="164" fontId="11" fillId="0" borderId="10" xfId="0" applyNumberFormat="1" applyFont="1" applyFill="1" applyBorder="1" applyAlignment="1">
      <alignment horizontal="right" vertical="center"/>
    </xf>
    <xf numFmtId="4" fontId="6" fillId="0" borderId="13" xfId="0" applyNumberFormat="1" applyFont="1" applyFill="1" applyBorder="1" applyAlignment="1">
      <alignment horizontal="right" vertical="center"/>
    </xf>
    <xf numFmtId="164" fontId="11" fillId="0" borderId="10" xfId="29" applyNumberFormat="1" applyFont="1" applyFill="1" applyBorder="1" applyAlignment="1">
      <alignment horizontal="right" vertical="center"/>
    </xf>
    <xf numFmtId="0" fontId="37" fillId="0" borderId="0" xfId="0" applyFont="1" applyAlignment="1">
      <alignment vertical="center"/>
    </xf>
    <xf numFmtId="0" fontId="4" fillId="23" borderId="10" xfId="0" applyFont="1" applyFill="1" applyBorder="1" applyAlignment="1">
      <alignment horizontal="left" vertical="center" wrapText="1" indent="1"/>
    </xf>
    <xf numFmtId="4" fontId="4" fillId="0" borderId="13" xfId="0" applyNumberFormat="1" applyFont="1" applyBorder="1" applyAlignment="1">
      <alignment vertical="center"/>
    </xf>
    <xf numFmtId="4" fontId="4" fillId="0" borderId="14" xfId="0" applyNumberFormat="1" applyFont="1" applyBorder="1" applyAlignment="1">
      <alignment vertical="center"/>
    </xf>
    <xf numFmtId="4" fontId="4" fillId="20" borderId="13" xfId="0" applyNumberFormat="1" applyFont="1" applyFill="1" applyBorder="1" applyAlignment="1">
      <alignment vertical="center"/>
    </xf>
    <xf numFmtId="4" fontId="4" fillId="20" borderId="14" xfId="0" applyNumberFormat="1" applyFont="1" applyFill="1" applyBorder="1" applyAlignment="1">
      <alignment vertical="center"/>
    </xf>
    <xf numFmtId="4" fontId="7" fillId="0" borderId="13" xfId="0" applyNumberFormat="1" applyFont="1" applyFill="1" applyBorder="1" applyAlignment="1">
      <alignment vertical="center"/>
    </xf>
    <xf numFmtId="4" fontId="7" fillId="0" borderId="14" xfId="0" applyNumberFormat="1" applyFont="1" applyFill="1" applyBorder="1" applyAlignment="1">
      <alignment vertical="center"/>
    </xf>
    <xf numFmtId="4" fontId="7" fillId="0" borderId="12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4" fontId="11" fillId="23" borderId="10" xfId="0" applyNumberFormat="1" applyFont="1" applyFill="1" applyBorder="1" applyAlignment="1">
      <alignment vertical="center"/>
    </xf>
    <xf numFmtId="4" fontId="13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0" fontId="4" fillId="19" borderId="10" xfId="0" applyFont="1" applyFill="1" applyBorder="1" applyAlignment="1">
      <alignment vertical="center"/>
    </xf>
    <xf numFmtId="0" fontId="6" fillId="19" borderId="13" xfId="0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vertical="center" wrapText="1"/>
    </xf>
    <xf numFmtId="4" fontId="6" fillId="22" borderId="1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 wrapText="1"/>
    </xf>
    <xf numFmtId="4" fontId="8" fillId="0" borderId="0" xfId="0" applyNumberFormat="1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 indent="1"/>
    </xf>
    <xf numFmtId="0" fontId="7" fillId="23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21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3"/>
    </xf>
    <xf numFmtId="0" fontId="7" fillId="23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4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4"/>
    </xf>
    <xf numFmtId="0" fontId="36" fillId="0" borderId="10" xfId="41" applyFont="1" applyBorder="1" applyAlignment="1">
      <alignment horizontal="left" vertical="center" wrapText="1" indent="1"/>
    </xf>
    <xf numFmtId="0" fontId="12" fillId="0" borderId="0" xfId="0" applyFont="1" applyAlignment="1">
      <alignment vertical="center"/>
    </xf>
    <xf numFmtId="0" fontId="4" fillId="0" borderId="10" xfId="0" applyFont="1" applyBorder="1" applyAlignment="1">
      <alignment horizontal="left" vertical="center" wrapText="1" indent="3"/>
    </xf>
    <xf numFmtId="0" fontId="2" fillId="0" borderId="15" xfId="0" applyFont="1" applyBorder="1"/>
    <xf numFmtId="0" fontId="2" fillId="0" borderId="0" xfId="41" applyFont="1" applyFill="1" applyAlignment="1">
      <alignment horizontal="center" vertical="center"/>
    </xf>
    <xf numFmtId="0" fontId="10" fillId="0" borderId="0" xfId="41" applyFont="1" applyFill="1" applyBorder="1" applyAlignment="1">
      <alignment horizontal="left" vertical="center"/>
    </xf>
    <xf numFmtId="0" fontId="10" fillId="23" borderId="1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6" fillId="21" borderId="10" xfId="0" applyFont="1" applyFill="1" applyBorder="1" applyAlignment="1">
      <alignment horizontal="left" vertical="center" wrapText="1" indent="2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168" fontId="2" fillId="0" borderId="13" xfId="0" applyNumberFormat="1" applyFont="1" applyBorder="1" applyAlignment="1">
      <alignment horizontal="center"/>
    </xf>
    <xf numFmtId="168" fontId="2" fillId="0" borderId="16" xfId="0" applyNumberFormat="1" applyFont="1" applyBorder="1" applyAlignment="1">
      <alignment horizontal="center"/>
    </xf>
    <xf numFmtId="0" fontId="6" fillId="19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19" borderId="10" xfId="0" applyFont="1" applyFill="1" applyBorder="1" applyAlignment="1">
      <alignment horizontal="center" vertical="center"/>
    </xf>
    <xf numFmtId="0" fontId="4" fillId="19" borderId="15" xfId="0" applyFont="1" applyFill="1" applyBorder="1" applyAlignment="1">
      <alignment horizontal="center" vertical="center" wrapText="1"/>
    </xf>
    <xf numFmtId="0" fontId="4" fillId="19" borderId="24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 wrapText="1"/>
    </xf>
    <xf numFmtId="0" fontId="6" fillId="19" borderId="15" xfId="0" applyFont="1" applyFill="1" applyBorder="1" applyAlignment="1">
      <alignment horizontal="center" vertical="center" wrapText="1"/>
    </xf>
    <xf numFmtId="0" fontId="6" fillId="19" borderId="24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11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6" fillId="23" borderId="10" xfId="0" applyFont="1" applyFill="1" applyBorder="1" applyAlignment="1">
      <alignment horizontal="left" vertical="center" wrapText="1" indent="1"/>
    </xf>
    <xf numFmtId="4" fontId="8" fillId="20" borderId="13" xfId="0" applyNumberFormat="1" applyFont="1" applyFill="1" applyBorder="1" applyAlignment="1">
      <alignment horizontal="center" vertical="center"/>
    </xf>
    <xf numFmtId="4" fontId="8" fillId="20" borderId="14" xfId="0" applyNumberFormat="1" applyFont="1" applyFill="1" applyBorder="1" applyAlignment="1">
      <alignment horizontal="center" vertical="center"/>
    </xf>
    <xf numFmtId="4" fontId="8" fillId="20" borderId="16" xfId="0" applyNumberFormat="1" applyFont="1" applyFill="1" applyBorder="1" applyAlignment="1">
      <alignment horizontal="center" vertical="center"/>
    </xf>
    <xf numFmtId="0" fontId="6" fillId="23" borderId="10" xfId="0" applyFont="1" applyFill="1" applyBorder="1" applyAlignment="1">
      <alignment horizontal="left" vertical="center" wrapText="1" indent="2"/>
    </xf>
    <xf numFmtId="4" fontId="4" fillId="20" borderId="10" xfId="0" applyNumberFormat="1" applyFont="1" applyFill="1" applyBorder="1" applyAlignment="1">
      <alignment horizontal="left" vertical="center" wrapText="1"/>
    </xf>
    <xf numFmtId="4" fontId="4" fillId="20" borderId="13" xfId="0" applyNumberFormat="1" applyFont="1" applyFill="1" applyBorder="1" applyAlignment="1">
      <alignment horizontal="left" vertical="center" wrapText="1"/>
    </xf>
    <xf numFmtId="4" fontId="4" fillId="20" borderId="14" xfId="0" applyNumberFormat="1" applyFont="1" applyFill="1" applyBorder="1" applyAlignment="1">
      <alignment horizontal="left" vertical="center" wrapText="1"/>
    </xf>
    <xf numFmtId="4" fontId="4" fillId="20" borderId="16" xfId="0" applyNumberFormat="1" applyFont="1" applyFill="1" applyBorder="1" applyAlignment="1">
      <alignment horizontal="left" vertical="center" wrapText="1"/>
    </xf>
    <xf numFmtId="4" fontId="6" fillId="20" borderId="13" xfId="0" applyNumberFormat="1" applyFont="1" applyFill="1" applyBorder="1" applyAlignment="1">
      <alignment horizontal="left" vertical="top" wrapText="1"/>
    </xf>
    <xf numFmtId="4" fontId="6" fillId="20" borderId="14" xfId="0" applyNumberFormat="1" applyFont="1" applyFill="1" applyBorder="1" applyAlignment="1">
      <alignment horizontal="left" vertical="top" wrapText="1"/>
    </xf>
    <xf numFmtId="4" fontId="6" fillId="20" borderId="16" xfId="0" applyNumberFormat="1" applyFont="1" applyFill="1" applyBorder="1" applyAlignment="1">
      <alignment horizontal="left" vertical="top" wrapText="1"/>
    </xf>
    <xf numFmtId="4" fontId="4" fillId="0" borderId="13" xfId="0" applyNumberFormat="1" applyFont="1" applyBorder="1" applyAlignment="1">
      <alignment horizontal="left" vertical="top" wrapText="1"/>
    </xf>
    <xf numFmtId="4" fontId="4" fillId="0" borderId="14" xfId="0" applyNumberFormat="1" applyFont="1" applyBorder="1" applyAlignment="1">
      <alignment horizontal="left" vertical="top" wrapText="1"/>
    </xf>
    <xf numFmtId="4" fontId="4" fillId="0" borderId="16" xfId="0" applyNumberFormat="1" applyFont="1" applyBorder="1" applyAlignment="1">
      <alignment horizontal="left" vertical="top" wrapText="1"/>
    </xf>
    <xf numFmtId="4" fontId="10" fillId="0" borderId="10" xfId="0" applyNumberFormat="1" applyFont="1" applyBorder="1" applyAlignment="1">
      <alignment horizontal="left" vertical="center"/>
    </xf>
    <xf numFmtId="4" fontId="4" fillId="0" borderId="10" xfId="0" applyNumberFormat="1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left" vertical="center"/>
    </xf>
    <xf numFmtId="4" fontId="7" fillId="20" borderId="10" xfId="0" applyNumberFormat="1" applyFont="1" applyFill="1" applyBorder="1" applyAlignment="1">
      <alignment horizontal="left" vertical="center" wrapText="1"/>
    </xf>
    <xf numFmtId="4" fontId="4" fillId="0" borderId="13" xfId="0" applyNumberFormat="1" applyFont="1" applyBorder="1" applyAlignment="1">
      <alignment horizontal="left" vertical="center"/>
    </xf>
    <xf numFmtId="4" fontId="4" fillId="0" borderId="14" xfId="0" applyNumberFormat="1" applyFont="1" applyBorder="1" applyAlignment="1">
      <alignment horizontal="left" vertical="center"/>
    </xf>
    <xf numFmtId="4" fontId="4" fillId="0" borderId="16" xfId="0" applyNumberFormat="1" applyFont="1" applyBorder="1" applyAlignment="1">
      <alignment horizontal="left" vertical="center"/>
    </xf>
    <xf numFmtId="4" fontId="4" fillId="20" borderId="13" xfId="0" applyNumberFormat="1" applyFont="1" applyFill="1" applyBorder="1" applyAlignment="1">
      <alignment horizontal="left" vertical="center"/>
    </xf>
    <xf numFmtId="4" fontId="4" fillId="20" borderId="14" xfId="0" applyNumberFormat="1" applyFont="1" applyFill="1" applyBorder="1" applyAlignment="1">
      <alignment horizontal="left" vertical="center"/>
    </xf>
    <xf numFmtId="4" fontId="4" fillId="20" borderId="16" xfId="0" applyNumberFormat="1" applyFont="1" applyFill="1" applyBorder="1" applyAlignment="1">
      <alignment horizontal="left" vertical="center"/>
    </xf>
    <xf numFmtId="4" fontId="7" fillId="0" borderId="13" xfId="0" applyNumberFormat="1" applyFont="1" applyFill="1" applyBorder="1" applyAlignment="1">
      <alignment horizontal="left" vertical="top" wrapText="1"/>
    </xf>
    <xf numFmtId="4" fontId="7" fillId="0" borderId="14" xfId="0" applyNumberFormat="1" applyFont="1" applyFill="1" applyBorder="1" applyAlignment="1">
      <alignment horizontal="left" vertical="top" wrapText="1"/>
    </xf>
    <xf numFmtId="4" fontId="7" fillId="0" borderId="16" xfId="0" applyNumberFormat="1" applyFont="1" applyFill="1" applyBorder="1" applyAlignment="1">
      <alignment horizontal="left" vertical="top" wrapText="1"/>
    </xf>
    <xf numFmtId="4" fontId="7" fillId="0" borderId="13" xfId="0" applyNumberFormat="1" applyFont="1" applyBorder="1" applyAlignment="1">
      <alignment horizontal="left" vertical="center"/>
    </xf>
    <xf numFmtId="4" fontId="7" fillId="0" borderId="14" xfId="0" applyNumberFormat="1" applyFont="1" applyBorder="1" applyAlignment="1">
      <alignment horizontal="left" vertical="center"/>
    </xf>
    <xf numFmtId="4" fontId="7" fillId="0" borderId="16" xfId="0" applyNumberFormat="1" applyFont="1" applyBorder="1" applyAlignment="1">
      <alignment horizontal="left" vertical="center"/>
    </xf>
    <xf numFmtId="4" fontId="6" fillId="0" borderId="13" xfId="0" applyNumberFormat="1" applyFont="1" applyBorder="1" applyAlignment="1">
      <alignment horizontal="left" vertical="center"/>
    </xf>
    <xf numFmtId="4" fontId="6" fillId="0" borderId="14" xfId="0" applyNumberFormat="1" applyFont="1" applyBorder="1" applyAlignment="1">
      <alignment horizontal="left" vertical="center"/>
    </xf>
    <xf numFmtId="4" fontId="6" fillId="0" borderId="16" xfId="0" applyNumberFormat="1" applyFont="1" applyBorder="1" applyAlignment="1">
      <alignment horizontal="left" vertical="center"/>
    </xf>
    <xf numFmtId="0" fontId="7" fillId="19" borderId="15" xfId="0" applyFont="1" applyFill="1" applyBorder="1" applyAlignment="1">
      <alignment horizontal="center" vertical="center"/>
    </xf>
    <xf numFmtId="0" fontId="7" fillId="19" borderId="12" xfId="0" applyFont="1" applyFill="1" applyBorder="1" applyAlignment="1">
      <alignment horizontal="center" vertical="center"/>
    </xf>
    <xf numFmtId="4" fontId="4" fillId="20" borderId="13" xfId="0" applyNumberFormat="1" applyFont="1" applyFill="1" applyBorder="1" applyAlignment="1">
      <alignment horizontal="left" vertical="top" wrapText="1"/>
    </xf>
    <xf numFmtId="4" fontId="4" fillId="20" borderId="14" xfId="0" applyNumberFormat="1" applyFont="1" applyFill="1" applyBorder="1" applyAlignment="1">
      <alignment horizontal="left" vertical="top" wrapText="1"/>
    </xf>
    <xf numFmtId="4" fontId="4" fillId="20" borderId="16" xfId="0" applyNumberFormat="1" applyFont="1" applyFill="1" applyBorder="1" applyAlignment="1">
      <alignment horizontal="left" vertical="top" wrapText="1"/>
    </xf>
    <xf numFmtId="4" fontId="4" fillId="23" borderId="13" xfId="0" applyNumberFormat="1" applyFont="1" applyFill="1" applyBorder="1" applyAlignment="1">
      <alignment horizontal="left" vertical="center"/>
    </xf>
    <xf numFmtId="4" fontId="4" fillId="23" borderId="14" xfId="0" applyNumberFormat="1" applyFont="1" applyFill="1" applyBorder="1" applyAlignment="1">
      <alignment horizontal="left" vertical="center"/>
    </xf>
    <xf numFmtId="4" fontId="4" fillId="23" borderId="16" xfId="0" applyNumberFormat="1" applyFont="1" applyFill="1" applyBorder="1" applyAlignment="1">
      <alignment horizontal="left" vertical="center"/>
    </xf>
    <xf numFmtId="4" fontId="8" fillId="0" borderId="13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4" fontId="7" fillId="20" borderId="13" xfId="0" applyNumberFormat="1" applyFont="1" applyFill="1" applyBorder="1" applyAlignment="1">
      <alignment horizontal="left" vertical="center"/>
    </xf>
    <xf numFmtId="4" fontId="7" fillId="20" borderId="14" xfId="0" applyNumberFormat="1" applyFont="1" applyFill="1" applyBorder="1" applyAlignment="1">
      <alignment horizontal="left" vertical="center"/>
    </xf>
    <xf numFmtId="4" fontId="7" fillId="20" borderId="16" xfId="0" applyNumberFormat="1" applyFont="1" applyFill="1" applyBorder="1" applyAlignment="1">
      <alignment horizontal="left" vertical="center"/>
    </xf>
    <xf numFmtId="0" fontId="6" fillId="19" borderId="10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6" fillId="19" borderId="10" xfId="0" applyNumberFormat="1" applyFont="1" applyFill="1" applyBorder="1" applyAlignment="1">
      <alignment horizontal="center" vertical="center" wrapText="1"/>
    </xf>
    <xf numFmtId="4" fontId="10" fillId="20" borderId="10" xfId="0" applyNumberFormat="1" applyFont="1" applyFill="1" applyBorder="1" applyAlignment="1">
      <alignment horizontal="left" vertical="center" wrapText="1"/>
    </xf>
    <xf numFmtId="0" fontId="6" fillId="19" borderId="10" xfId="0" applyFont="1" applyFill="1" applyBorder="1" applyAlignment="1">
      <alignment horizontal="center" vertical="top" wrapText="1"/>
    </xf>
    <xf numFmtId="4" fontId="10" fillId="20" borderId="13" xfId="0" applyNumberFormat="1" applyFont="1" applyFill="1" applyBorder="1" applyAlignment="1">
      <alignment horizontal="center" vertical="center"/>
    </xf>
    <xf numFmtId="4" fontId="10" fillId="20" borderId="14" xfId="0" applyNumberFormat="1" applyFont="1" applyFill="1" applyBorder="1" applyAlignment="1">
      <alignment horizontal="center" vertical="center"/>
    </xf>
    <xf numFmtId="4" fontId="10" fillId="20" borderId="16" xfId="0" applyNumberFormat="1" applyFont="1" applyFill="1" applyBorder="1" applyAlignment="1">
      <alignment horizontal="center" vertical="center"/>
    </xf>
    <xf numFmtId="0" fontId="10" fillId="23" borderId="10" xfId="0" applyFont="1" applyFill="1" applyBorder="1" applyAlignment="1">
      <alignment horizontal="left" vertical="center" wrapText="1"/>
    </xf>
    <xf numFmtId="0" fontId="10" fillId="20" borderId="10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20" borderId="13" xfId="0" applyFont="1" applyFill="1" applyBorder="1" applyAlignment="1">
      <alignment horizontal="left" vertical="center" wrapText="1"/>
    </xf>
    <xf numFmtId="0" fontId="6" fillId="20" borderId="16" xfId="0" applyFont="1" applyFill="1" applyBorder="1" applyAlignment="1">
      <alignment horizontal="left" vertical="center" wrapText="1"/>
    </xf>
    <xf numFmtId="0" fontId="10" fillId="20" borderId="13" xfId="0" applyFont="1" applyFill="1" applyBorder="1" applyAlignment="1">
      <alignment horizontal="left" vertical="center" wrapText="1"/>
    </xf>
    <xf numFmtId="0" fontId="10" fillId="20" borderId="16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0" fillId="19" borderId="10" xfId="0" applyFont="1" applyFill="1" applyBorder="1" applyAlignment="1">
      <alignment horizontal="center" vertical="center" wrapText="1"/>
    </xf>
    <xf numFmtId="4" fontId="34" fillId="20" borderId="13" xfId="0" applyNumberFormat="1" applyFont="1" applyFill="1" applyBorder="1" applyAlignment="1">
      <alignment horizontal="center" vertical="center"/>
    </xf>
    <xf numFmtId="4" fontId="34" fillId="20" borderId="14" xfId="0" applyNumberFormat="1" applyFont="1" applyFill="1" applyBorder="1" applyAlignment="1">
      <alignment horizontal="center" vertical="center"/>
    </xf>
    <xf numFmtId="4" fontId="34" fillId="20" borderId="16" xfId="0" applyNumberFormat="1" applyFont="1" applyFill="1" applyBorder="1" applyAlignment="1">
      <alignment horizontal="center" vertical="center"/>
    </xf>
  </cellXfs>
  <cellStyles count="4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Dziesiętny 3" xfId="29"/>
    <cellStyle name="Dziesiętny 3 2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alny" xfId="0" builtinId="0"/>
    <cellStyle name="Normalny 2" xfId="40"/>
    <cellStyle name="Normalny 2 2" xfId="41"/>
    <cellStyle name="Note" xfId="42"/>
    <cellStyle name="Note 2" xfId="43"/>
    <cellStyle name="Output" xfId="44"/>
    <cellStyle name="Title" xfId="45"/>
    <cellStyle name="Total" xfId="46"/>
    <cellStyle name="Warning Text" xfId="4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19"/>
  <sheetViews>
    <sheetView tabSelected="1" zoomScaleNormal="100" workbookViewId="0"/>
  </sheetViews>
  <sheetFormatPr defaultRowHeight="12.75" outlineLevelRow="1" outlineLevelCol="1" x14ac:dyDescent="0.2"/>
  <cols>
    <col min="1" max="1" width="0.42578125" style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8" width="13" style="1" customWidth="1" outlineLevel="1"/>
    <col min="9" max="9" width="12" style="1" customWidth="1" outlineLevel="1"/>
    <col min="10" max="10" width="13" style="1" customWidth="1"/>
    <col min="11" max="11" width="7.42578125" style="1" customWidth="1"/>
    <col min="12" max="12" width="8.42578125" style="1" bestFit="1" customWidth="1"/>
    <col min="13" max="13" width="8.140625" style="1" customWidth="1"/>
    <col min="14" max="16384" width="9.140625" style="1"/>
  </cols>
  <sheetData>
    <row r="1" spans="2:13" ht="24.75" customHeight="1" x14ac:dyDescent="0.2">
      <c r="B1" s="125" t="str">
        <f>CONCATENATE("Informacja z wykonania budżetów jednostek samorządu terytorialnego za ",$D$117," ",$C$118," roku")</f>
        <v>Informacja z wykonania budżetów jednostek samorządu terytorialnego za II Kwartały 2023 roku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2:13" ht="6.75" customHeight="1" x14ac:dyDescent="0.2"/>
    <row r="3" spans="2:13" ht="66.75" customHeight="1" x14ac:dyDescent="0.2">
      <c r="B3" s="158" t="s">
        <v>0</v>
      </c>
      <c r="C3" s="17" t="s">
        <v>184</v>
      </c>
      <c r="D3" s="17" t="s">
        <v>185</v>
      </c>
      <c r="E3" s="17" t="s">
        <v>186</v>
      </c>
      <c r="F3" s="17" t="s">
        <v>187</v>
      </c>
      <c r="G3" s="17" t="s">
        <v>188</v>
      </c>
      <c r="H3" s="17" t="s">
        <v>189</v>
      </c>
      <c r="I3" s="17" t="s">
        <v>190</v>
      </c>
      <c r="J3" s="19" t="s">
        <v>2</v>
      </c>
      <c r="K3" s="17" t="s">
        <v>67</v>
      </c>
      <c r="L3" s="17" t="s">
        <v>3</v>
      </c>
    </row>
    <row r="4" spans="2:13" x14ac:dyDescent="0.2">
      <c r="B4" s="158"/>
      <c r="C4" s="159" t="s">
        <v>305</v>
      </c>
      <c r="D4" s="160"/>
      <c r="E4" s="160"/>
      <c r="F4" s="160"/>
      <c r="G4" s="160"/>
      <c r="H4" s="160"/>
      <c r="I4" s="161"/>
      <c r="J4" s="140" t="s">
        <v>4</v>
      </c>
      <c r="K4" s="140"/>
      <c r="L4" s="140"/>
    </row>
    <row r="5" spans="2:13" x14ac:dyDescent="0.2">
      <c r="B5" s="19">
        <v>1</v>
      </c>
      <c r="C5" s="21">
        <v>2</v>
      </c>
      <c r="D5" s="21">
        <v>3</v>
      </c>
      <c r="E5" s="19">
        <v>4</v>
      </c>
      <c r="F5" s="21">
        <v>5</v>
      </c>
      <c r="G5" s="21">
        <v>6</v>
      </c>
      <c r="H5" s="19">
        <v>7</v>
      </c>
      <c r="I5" s="21">
        <v>8</v>
      </c>
      <c r="J5" s="21">
        <v>9</v>
      </c>
      <c r="K5" s="19">
        <v>10</v>
      </c>
      <c r="L5" s="21">
        <v>11</v>
      </c>
    </row>
    <row r="6" spans="2:13" ht="12.75" customHeight="1" x14ac:dyDescent="0.2">
      <c r="B6" s="83" t="s">
        <v>5</v>
      </c>
      <c r="C6" s="84">
        <f>353110345155.43</f>
        <v>353110345155.42999</v>
      </c>
      <c r="D6" s="84">
        <f>172125801930.82</f>
        <v>172125801930.82001</v>
      </c>
      <c r="E6" s="84">
        <f>2353326002.15</f>
        <v>2353326002.1500001</v>
      </c>
      <c r="F6" s="84">
        <f>438935213.54</f>
        <v>438935213.54000002</v>
      </c>
      <c r="G6" s="84">
        <f>60673591.99</f>
        <v>60673591.990000002</v>
      </c>
      <c r="H6" s="84">
        <f>210094119.77</f>
        <v>210094119.77000001</v>
      </c>
      <c r="I6" s="84">
        <f>2842404.54</f>
        <v>2842404.54</v>
      </c>
      <c r="J6" s="85">
        <f t="shared" ref="J6:J52" si="0">IF($D$6=0,"",100*$D6/$D$6)</f>
        <v>100</v>
      </c>
      <c r="K6" s="85">
        <f t="shared" ref="K6:K52" si="1">IF(C6=0,"",100*D6/C6)</f>
        <v>48.745612891928921</v>
      </c>
      <c r="L6" s="85"/>
    </row>
    <row r="7" spans="2:13" ht="27.95" customHeight="1" x14ac:dyDescent="0.2">
      <c r="B7" s="114" t="s">
        <v>226</v>
      </c>
      <c r="C7" s="34">
        <f>C6-C22-C46</f>
        <v>177620701626.06</v>
      </c>
      <c r="D7" s="34">
        <f>D6-D22-D46</f>
        <v>89630374856.700012</v>
      </c>
      <c r="E7" s="34">
        <f>E6</f>
        <v>2353326002.1500001</v>
      </c>
      <c r="F7" s="34">
        <f>F6</f>
        <v>438935213.54000002</v>
      </c>
      <c r="G7" s="34">
        <f>G6</f>
        <v>60673591.990000002</v>
      </c>
      <c r="H7" s="34">
        <f>H6</f>
        <v>210094119.77000001</v>
      </c>
      <c r="I7" s="34">
        <f>I6</f>
        <v>2842404.54</v>
      </c>
      <c r="J7" s="52">
        <f t="shared" si="0"/>
        <v>52.072596816556207</v>
      </c>
      <c r="K7" s="52">
        <f t="shared" si="1"/>
        <v>50.461671435909757</v>
      </c>
      <c r="L7" s="52">
        <f t="shared" ref="L7:L21" si="2">IF($D$7=0,"",100*$D7/$D$7)</f>
        <v>100.00000000000001</v>
      </c>
    </row>
    <row r="8" spans="2:13" ht="23.1" customHeight="1" outlineLevel="1" x14ac:dyDescent="0.2">
      <c r="B8" s="45" t="s">
        <v>182</v>
      </c>
      <c r="C8" s="31">
        <f>21812261032</f>
        <v>21812261032</v>
      </c>
      <c r="D8" s="31">
        <f>10906496403</f>
        <v>10906496403</v>
      </c>
      <c r="E8" s="31">
        <f>0</f>
        <v>0</v>
      </c>
      <c r="F8" s="31">
        <f>0</f>
        <v>0</v>
      </c>
      <c r="G8" s="31">
        <f>0</f>
        <v>0</v>
      </c>
      <c r="H8" s="31">
        <f>0</f>
        <v>0</v>
      </c>
      <c r="I8" s="33">
        <f>0</f>
        <v>0</v>
      </c>
      <c r="J8" s="53">
        <f t="shared" si="0"/>
        <v>6.3363518314258824</v>
      </c>
      <c r="K8" s="53">
        <f t="shared" si="1"/>
        <v>50.001677437288429</v>
      </c>
      <c r="L8" s="53">
        <f t="shared" si="2"/>
        <v>12.168303904158806</v>
      </c>
    </row>
    <row r="9" spans="2:13" ht="23.1" customHeight="1" outlineLevel="1" x14ac:dyDescent="0.2">
      <c r="B9" s="45" t="s">
        <v>70</v>
      </c>
      <c r="C9" s="31">
        <f>51810720057.14</f>
        <v>51810720057.139999</v>
      </c>
      <c r="D9" s="31">
        <f>25867687134</f>
        <v>25867687134</v>
      </c>
      <c r="E9" s="31">
        <f>0</f>
        <v>0</v>
      </c>
      <c r="F9" s="31">
        <f>0</f>
        <v>0</v>
      </c>
      <c r="G9" s="31">
        <f>0</f>
        <v>0</v>
      </c>
      <c r="H9" s="31">
        <f>0</f>
        <v>0</v>
      </c>
      <c r="I9" s="33">
        <f>0</f>
        <v>0</v>
      </c>
      <c r="J9" s="53">
        <f t="shared" si="0"/>
        <v>15.028361142739437</v>
      </c>
      <c r="K9" s="53">
        <f t="shared" si="1"/>
        <v>49.927287452232953</v>
      </c>
      <c r="L9" s="53">
        <f t="shared" si="2"/>
        <v>28.860402709859191</v>
      </c>
    </row>
    <row r="10" spans="2:13" ht="12.95" customHeight="1" outlineLevel="1" x14ac:dyDescent="0.2">
      <c r="B10" s="45" t="s">
        <v>71</v>
      </c>
      <c r="C10" s="31">
        <f>2010986391.41</f>
        <v>2010986391.4100001</v>
      </c>
      <c r="D10" s="31">
        <f>1201841323.83</f>
        <v>1201841323.8299999</v>
      </c>
      <c r="E10" s="31">
        <f>127673896.66</f>
        <v>127673896.66</v>
      </c>
      <c r="F10" s="31">
        <f>1151489.42</f>
        <v>1151489.42</v>
      </c>
      <c r="G10" s="31">
        <f>1074085.52</f>
        <v>1074085.52</v>
      </c>
      <c r="H10" s="31">
        <f>40980331.68</f>
        <v>40980331.68</v>
      </c>
      <c r="I10" s="33">
        <f>0</f>
        <v>0</v>
      </c>
      <c r="J10" s="53">
        <f t="shared" si="0"/>
        <v>0.69823426258489618</v>
      </c>
      <c r="K10" s="53">
        <f t="shared" si="1"/>
        <v>59.763772095311431</v>
      </c>
      <c r="L10" s="53">
        <f t="shared" si="2"/>
        <v>1.3408861959480698</v>
      </c>
    </row>
    <row r="11" spans="2:13" ht="12.95" customHeight="1" outlineLevel="1" x14ac:dyDescent="0.2">
      <c r="B11" s="45" t="s">
        <v>72</v>
      </c>
      <c r="C11" s="31">
        <f>31114794003.73</f>
        <v>31114794003.73</v>
      </c>
      <c r="D11" s="31">
        <f>16616669110.15</f>
        <v>16616669110.15</v>
      </c>
      <c r="E11" s="31">
        <f>1416022687.73</f>
        <v>1416022687.73</v>
      </c>
      <c r="F11" s="31">
        <f>435303052.99</f>
        <v>435303052.99000001</v>
      </c>
      <c r="G11" s="31">
        <f>45405372.28</f>
        <v>45405372.280000001</v>
      </c>
      <c r="H11" s="31">
        <f>133849231.19</f>
        <v>133849231.19</v>
      </c>
      <c r="I11" s="33">
        <f>2260834.62</f>
        <v>2260834.62</v>
      </c>
      <c r="J11" s="53">
        <f t="shared" si="0"/>
        <v>9.6537932859296092</v>
      </c>
      <c r="K11" s="53">
        <f t="shared" si="1"/>
        <v>53.404400196761756</v>
      </c>
      <c r="L11" s="53">
        <f t="shared" si="2"/>
        <v>18.539104780847492</v>
      </c>
    </row>
    <row r="12" spans="2:13" ht="12.95" customHeight="1" outlineLevel="1" x14ac:dyDescent="0.2">
      <c r="B12" s="45" t="s">
        <v>73</v>
      </c>
      <c r="C12" s="31">
        <f>461080332.41</f>
        <v>461080332.41000003</v>
      </c>
      <c r="D12" s="31">
        <f>276439864.58</f>
        <v>276439864.57999998</v>
      </c>
      <c r="E12" s="31">
        <f>2881318.77</f>
        <v>2881318.77</v>
      </c>
      <c r="F12" s="31">
        <f>501334.1</f>
        <v>501334.1</v>
      </c>
      <c r="G12" s="31">
        <f>48002.7</f>
        <v>48002.7</v>
      </c>
      <c r="H12" s="31">
        <f>134779.7</f>
        <v>134779.70000000001</v>
      </c>
      <c r="I12" s="33">
        <f>0</f>
        <v>0</v>
      </c>
      <c r="J12" s="53">
        <f t="shared" si="0"/>
        <v>0.16060338512822464</v>
      </c>
      <c r="K12" s="53">
        <f t="shared" si="1"/>
        <v>59.954815928731747</v>
      </c>
      <c r="L12" s="53">
        <f t="shared" si="2"/>
        <v>0.3084220779194205</v>
      </c>
    </row>
    <row r="13" spans="2:13" ht="12.95" customHeight="1" outlineLevel="1" x14ac:dyDescent="0.2">
      <c r="B13" s="45" t="s">
        <v>74</v>
      </c>
      <c r="C13" s="31">
        <f>1447725167.4</f>
        <v>1447725167.4000001</v>
      </c>
      <c r="D13" s="31">
        <f>755693328.69</f>
        <v>755693328.69000006</v>
      </c>
      <c r="E13" s="31">
        <f>789940125.27</f>
        <v>789940125.26999998</v>
      </c>
      <c r="F13" s="31">
        <f>1608703.23</f>
        <v>1608703.23</v>
      </c>
      <c r="G13" s="31">
        <f>1512431.9</f>
        <v>1512431.9</v>
      </c>
      <c r="H13" s="31">
        <f>5320507.8</f>
        <v>5320507.8</v>
      </c>
      <c r="I13" s="33">
        <f>23304.24</f>
        <v>23304.240000000002</v>
      </c>
      <c r="J13" s="53">
        <f t="shared" si="0"/>
        <v>0.43903547301625628</v>
      </c>
      <c r="K13" s="53">
        <f t="shared" si="1"/>
        <v>52.198673180985409</v>
      </c>
      <c r="L13" s="53">
        <f t="shared" si="2"/>
        <v>0.84312191028788352</v>
      </c>
    </row>
    <row r="14" spans="2:13" ht="33" customHeight="1" outlineLevel="1" x14ac:dyDescent="0.2">
      <c r="B14" s="45" t="s">
        <v>192</v>
      </c>
      <c r="C14" s="31">
        <f>183683969.62</f>
        <v>183683969.62</v>
      </c>
      <c r="D14" s="31">
        <f>77211325.78</f>
        <v>77211325.780000001</v>
      </c>
      <c r="E14" s="31">
        <f>0</f>
        <v>0</v>
      </c>
      <c r="F14" s="31">
        <f>0</f>
        <v>0</v>
      </c>
      <c r="G14" s="31">
        <f>10317.85</f>
        <v>10317.85</v>
      </c>
      <c r="H14" s="31">
        <f>238331.77</f>
        <v>238331.77</v>
      </c>
      <c r="I14" s="33">
        <f>0</f>
        <v>0</v>
      </c>
      <c r="J14" s="53">
        <f t="shared" si="0"/>
        <v>4.485749661810285E-2</v>
      </c>
      <c r="K14" s="53">
        <f t="shared" si="1"/>
        <v>42.034874322311587</v>
      </c>
      <c r="L14" s="53">
        <f t="shared" si="2"/>
        <v>8.6144151358782728E-2</v>
      </c>
    </row>
    <row r="15" spans="2:13" ht="12.95" customHeight="1" outlineLevel="1" x14ac:dyDescent="0.2">
      <c r="B15" s="45" t="s">
        <v>151</v>
      </c>
      <c r="C15" s="31">
        <f>447766148.14</f>
        <v>447766148.13999999</v>
      </c>
      <c r="D15" s="31">
        <f>287610781.24</f>
        <v>287610781.24000001</v>
      </c>
      <c r="E15" s="31">
        <f>0</f>
        <v>0</v>
      </c>
      <c r="F15" s="31">
        <f>0</f>
        <v>0</v>
      </c>
      <c r="G15" s="31">
        <f>2999146.89</f>
        <v>2999146.89</v>
      </c>
      <c r="H15" s="31">
        <f>11144880.91</f>
        <v>11144880.91</v>
      </c>
      <c r="I15" s="33">
        <f>0</f>
        <v>0</v>
      </c>
      <c r="J15" s="53">
        <f t="shared" si="0"/>
        <v>0.16709335730827571</v>
      </c>
      <c r="K15" s="53">
        <f t="shared" si="1"/>
        <v>64.232363798541257</v>
      </c>
      <c r="L15" s="53">
        <f t="shared" si="2"/>
        <v>0.32088539370702035</v>
      </c>
    </row>
    <row r="16" spans="2:13" ht="23.1" customHeight="1" outlineLevel="1" x14ac:dyDescent="0.2">
      <c r="B16" s="45" t="s">
        <v>152</v>
      </c>
      <c r="C16" s="31">
        <f>3855018550.75</f>
        <v>3855018550.75</v>
      </c>
      <c r="D16" s="31">
        <f>1796219918.12</f>
        <v>1796219918.1199999</v>
      </c>
      <c r="E16" s="31">
        <f>0</f>
        <v>0</v>
      </c>
      <c r="F16" s="31">
        <f>0</f>
        <v>0</v>
      </c>
      <c r="G16" s="31">
        <f>100954.41</f>
        <v>100954.41</v>
      </c>
      <c r="H16" s="31">
        <f>341041.2</f>
        <v>341041.2</v>
      </c>
      <c r="I16" s="33">
        <f>0</f>
        <v>0</v>
      </c>
      <c r="J16" s="53">
        <f t="shared" si="0"/>
        <v>1.0435506460803177</v>
      </c>
      <c r="K16" s="53">
        <f t="shared" si="1"/>
        <v>46.594326187367962</v>
      </c>
      <c r="L16" s="53">
        <f t="shared" si="2"/>
        <v>2.004030353540053</v>
      </c>
    </row>
    <row r="17" spans="2:12" ht="12.95" customHeight="1" outlineLevel="1" x14ac:dyDescent="0.2">
      <c r="B17" s="45" t="s">
        <v>153</v>
      </c>
      <c r="C17" s="31">
        <f>602005154.53</f>
        <v>602005154.52999997</v>
      </c>
      <c r="D17" s="31">
        <f>314361584.8</f>
        <v>314361584.80000001</v>
      </c>
      <c r="E17" s="31">
        <f>0</f>
        <v>0</v>
      </c>
      <c r="F17" s="31">
        <f>0</f>
        <v>0</v>
      </c>
      <c r="G17" s="31">
        <f>2231</f>
        <v>2231</v>
      </c>
      <c r="H17" s="31">
        <f>0</f>
        <v>0</v>
      </c>
      <c r="I17" s="33">
        <f>0</f>
        <v>0</v>
      </c>
      <c r="J17" s="53">
        <f t="shared" si="0"/>
        <v>0.18263478297480742</v>
      </c>
      <c r="K17" s="53">
        <f t="shared" si="1"/>
        <v>52.219085241127168</v>
      </c>
      <c r="L17" s="53">
        <f t="shared" si="2"/>
        <v>0.35073108341072723</v>
      </c>
    </row>
    <row r="18" spans="2:12" ht="12.95" customHeight="1" outlineLevel="1" x14ac:dyDescent="0.2">
      <c r="B18" s="45" t="s">
        <v>154</v>
      </c>
      <c r="C18" s="31">
        <f>476535184.4</f>
        <v>476535184.39999998</v>
      </c>
      <c r="D18" s="31">
        <f>230387807.33</f>
        <v>230387807.33000001</v>
      </c>
      <c r="E18" s="31">
        <f>0</f>
        <v>0</v>
      </c>
      <c r="F18" s="31">
        <f>0</f>
        <v>0</v>
      </c>
      <c r="G18" s="31">
        <f>0</f>
        <v>0</v>
      </c>
      <c r="H18" s="31">
        <f>391228.3</f>
        <v>391228.3</v>
      </c>
      <c r="I18" s="33">
        <f>0</f>
        <v>0</v>
      </c>
      <c r="J18" s="53">
        <f t="shared" si="0"/>
        <v>0.13384850193615735</v>
      </c>
      <c r="K18" s="53">
        <f t="shared" si="1"/>
        <v>48.346442166716116</v>
      </c>
      <c r="L18" s="53">
        <f t="shared" si="2"/>
        <v>0.25704211066654725</v>
      </c>
    </row>
    <row r="19" spans="2:12" ht="12.95" customHeight="1" outlineLevel="1" x14ac:dyDescent="0.2">
      <c r="B19" s="45" t="s">
        <v>155</v>
      </c>
      <c r="C19" s="31">
        <f>126033665.12</f>
        <v>126033665.12</v>
      </c>
      <c r="D19" s="31">
        <f>52375640.74</f>
        <v>52375640.740000002</v>
      </c>
      <c r="E19" s="31">
        <f>522393.02</f>
        <v>522393.02</v>
      </c>
      <c r="F19" s="31">
        <f>0</f>
        <v>0</v>
      </c>
      <c r="G19" s="31">
        <f>3934</f>
        <v>3934</v>
      </c>
      <c r="H19" s="31">
        <f>90912.72</f>
        <v>90912.72</v>
      </c>
      <c r="I19" s="33">
        <f>0</f>
        <v>0</v>
      </c>
      <c r="J19" s="53">
        <f t="shared" si="0"/>
        <v>3.0428698168709519E-2</v>
      </c>
      <c r="K19" s="53">
        <f t="shared" si="1"/>
        <v>41.556865532817568</v>
      </c>
      <c r="L19" s="53">
        <f t="shared" si="2"/>
        <v>5.8435146370566404E-2</v>
      </c>
    </row>
    <row r="20" spans="2:12" ht="12.95" customHeight="1" outlineLevel="1" x14ac:dyDescent="0.2">
      <c r="B20" s="45" t="s">
        <v>75</v>
      </c>
      <c r="C20" s="31">
        <f>11757282092.07</f>
        <v>11757282092.07</v>
      </c>
      <c r="D20" s="31">
        <f>4468997910.54</f>
        <v>4468997910.54</v>
      </c>
      <c r="E20" s="31">
        <f>0</f>
        <v>0</v>
      </c>
      <c r="F20" s="31">
        <f>0</f>
        <v>0</v>
      </c>
      <c r="G20" s="31">
        <f>8097.53</f>
        <v>8097.53</v>
      </c>
      <c r="H20" s="31">
        <f>0</f>
        <v>0</v>
      </c>
      <c r="I20" s="33">
        <f>6350</f>
        <v>6350</v>
      </c>
      <c r="J20" s="53">
        <f t="shared" si="0"/>
        <v>2.596355607589941</v>
      </c>
      <c r="K20" s="53">
        <f t="shared" si="1"/>
        <v>38.010467687546857</v>
      </c>
      <c r="L20" s="53">
        <f t="shared" si="2"/>
        <v>4.9860305925139565</v>
      </c>
    </row>
    <row r="21" spans="2:12" ht="12.95" customHeight="1" outlineLevel="1" x14ac:dyDescent="0.2">
      <c r="B21" s="45" t="s">
        <v>76</v>
      </c>
      <c r="C21" s="31">
        <f>C7-C8-C9-C10-C11-C12-C13-C14-C15-C16-C17-C18-C19-C20</f>
        <v>51514809877.340004</v>
      </c>
      <c r="D21" s="31">
        <f t="shared" ref="D21:I21" si="3">D7-D8-D9-D10-D11-D12-D13-D14-D15-D16-D17-D18-D19-D20</f>
        <v>26778382723.900005</v>
      </c>
      <c r="E21" s="31">
        <f t="shared" si="3"/>
        <v>16285580.700000267</v>
      </c>
      <c r="F21" s="31">
        <f t="shared" si="3"/>
        <v>370633.79999999516</v>
      </c>
      <c r="G21" s="31">
        <f t="shared" si="3"/>
        <v>9509017.9099999983</v>
      </c>
      <c r="H21" s="31">
        <f t="shared" si="3"/>
        <v>17602874.500000004</v>
      </c>
      <c r="I21" s="33">
        <f t="shared" si="3"/>
        <v>551915.67999999993</v>
      </c>
      <c r="J21" s="53">
        <f t="shared" si="0"/>
        <v>15.557448345055581</v>
      </c>
      <c r="K21" s="53">
        <f t="shared" si="1"/>
        <v>51.981911197306204</v>
      </c>
      <c r="L21" s="53">
        <f t="shared" si="2"/>
        <v>29.876459589411478</v>
      </c>
    </row>
    <row r="22" spans="2:12" ht="27.95" customHeight="1" x14ac:dyDescent="0.2">
      <c r="B22" s="115" t="s">
        <v>379</v>
      </c>
      <c r="C22" s="84">
        <f>C23+C42+C44</f>
        <v>91025620286.48999</v>
      </c>
      <c r="D22" s="84">
        <f>D23+D42+D44</f>
        <v>32835436541.12001</v>
      </c>
      <c r="E22" s="86" t="s">
        <v>225</v>
      </c>
      <c r="F22" s="86" t="s">
        <v>225</v>
      </c>
      <c r="G22" s="86" t="s">
        <v>225</v>
      </c>
      <c r="H22" s="86" t="s">
        <v>225</v>
      </c>
      <c r="I22" s="86" t="s">
        <v>225</v>
      </c>
      <c r="J22" s="85">
        <f t="shared" si="0"/>
        <v>19.076417464894121</v>
      </c>
      <c r="K22" s="85">
        <f t="shared" si="1"/>
        <v>36.072741320273586</v>
      </c>
      <c r="L22" s="87"/>
    </row>
    <row r="23" spans="2:12" ht="27.95" customHeight="1" outlineLevel="1" x14ac:dyDescent="0.2">
      <c r="B23" s="120" t="s">
        <v>227</v>
      </c>
      <c r="C23" s="84">
        <f>C24+C26+C28+C30+C32+C34+C36+C38+C40</f>
        <v>70888126730.009995</v>
      </c>
      <c r="D23" s="84">
        <f>D24+D26+D28+D30+D32+D34+D36+D38+D40</f>
        <v>26819543632.389999</v>
      </c>
      <c r="E23" s="86" t="s">
        <v>225</v>
      </c>
      <c r="F23" s="86" t="s">
        <v>225</v>
      </c>
      <c r="G23" s="86" t="s">
        <v>225</v>
      </c>
      <c r="H23" s="86" t="s">
        <v>225</v>
      </c>
      <c r="I23" s="86" t="s">
        <v>225</v>
      </c>
      <c r="J23" s="85">
        <f t="shared" si="0"/>
        <v>15.58136161548237</v>
      </c>
      <c r="K23" s="85">
        <f t="shared" si="1"/>
        <v>37.833618787158798</v>
      </c>
      <c r="L23" s="87"/>
    </row>
    <row r="24" spans="2:12" ht="24.95" customHeight="1" outlineLevel="1" x14ac:dyDescent="0.2">
      <c r="B24" s="119" t="s">
        <v>9</v>
      </c>
      <c r="C24" s="33">
        <f>22781487917.76</f>
        <v>22781487917.759998</v>
      </c>
      <c r="D24" s="33">
        <f>13417767739.89</f>
        <v>13417767739.889999</v>
      </c>
      <c r="E24" s="33" t="s">
        <v>225</v>
      </c>
      <c r="F24" s="33" t="s">
        <v>225</v>
      </c>
      <c r="G24" s="33" t="s">
        <v>225</v>
      </c>
      <c r="H24" s="33" t="s">
        <v>225</v>
      </c>
      <c r="I24" s="33" t="s">
        <v>225</v>
      </c>
      <c r="J24" s="53">
        <f t="shared" si="0"/>
        <v>7.795326202914544</v>
      </c>
      <c r="K24" s="53">
        <f t="shared" si="1"/>
        <v>58.897679503320646</v>
      </c>
      <c r="L24" s="42"/>
    </row>
    <row r="25" spans="2:12" ht="12.95" customHeight="1" outlineLevel="1" x14ac:dyDescent="0.2">
      <c r="B25" s="121" t="s">
        <v>6</v>
      </c>
      <c r="C25" s="33">
        <f>199252780.1</f>
        <v>199252780.09999999</v>
      </c>
      <c r="D25" s="33">
        <f>48464136.62</f>
        <v>48464136.619999997</v>
      </c>
      <c r="E25" s="33" t="s">
        <v>225</v>
      </c>
      <c r="F25" s="33" t="s">
        <v>225</v>
      </c>
      <c r="G25" s="33" t="s">
        <v>225</v>
      </c>
      <c r="H25" s="33" t="s">
        <v>225</v>
      </c>
      <c r="I25" s="33" t="s">
        <v>225</v>
      </c>
      <c r="J25" s="53">
        <f t="shared" si="0"/>
        <v>2.8156229964568867E-2</v>
      </c>
      <c r="K25" s="53">
        <f t="shared" si="1"/>
        <v>24.322941238600063</v>
      </c>
      <c r="L25" s="42"/>
    </row>
    <row r="26" spans="2:12" ht="12.95" customHeight="1" outlineLevel="1" x14ac:dyDescent="0.2">
      <c r="B26" s="119" t="s">
        <v>7</v>
      </c>
      <c r="C26" s="33">
        <f>6528131800.53</f>
        <v>6528131800.5299997</v>
      </c>
      <c r="D26" s="33">
        <f>3125560806.95</f>
        <v>3125560806.9499998</v>
      </c>
      <c r="E26" s="33" t="s">
        <v>225</v>
      </c>
      <c r="F26" s="33" t="s">
        <v>225</v>
      </c>
      <c r="G26" s="33" t="s">
        <v>225</v>
      </c>
      <c r="H26" s="33" t="s">
        <v>225</v>
      </c>
      <c r="I26" s="33" t="s">
        <v>225</v>
      </c>
      <c r="J26" s="53">
        <f t="shared" si="0"/>
        <v>1.815858384907459</v>
      </c>
      <c r="K26" s="53">
        <f t="shared" si="1"/>
        <v>47.878334911930622</v>
      </c>
      <c r="L26" s="42"/>
    </row>
    <row r="27" spans="2:12" ht="12.95" customHeight="1" outlineLevel="1" x14ac:dyDescent="0.2">
      <c r="B27" s="121" t="s">
        <v>6</v>
      </c>
      <c r="C27" s="33">
        <f>989143126.61</f>
        <v>989143126.61000001</v>
      </c>
      <c r="D27" s="33">
        <f>325237562.25</f>
        <v>325237562.25</v>
      </c>
      <c r="E27" s="33" t="s">
        <v>225</v>
      </c>
      <c r="F27" s="33" t="s">
        <v>225</v>
      </c>
      <c r="G27" s="33" t="s">
        <v>225</v>
      </c>
      <c r="H27" s="33" t="s">
        <v>225</v>
      </c>
      <c r="I27" s="33" t="s">
        <v>225</v>
      </c>
      <c r="J27" s="53">
        <f t="shared" si="0"/>
        <v>0.18895340419719175</v>
      </c>
      <c r="K27" s="53">
        <f t="shared" si="1"/>
        <v>32.880738237008934</v>
      </c>
      <c r="L27" s="42"/>
    </row>
    <row r="28" spans="2:12" ht="33" customHeight="1" outlineLevel="1" x14ac:dyDescent="0.2">
      <c r="B28" s="119" t="s">
        <v>10</v>
      </c>
      <c r="C28" s="33">
        <f>361479684.8</f>
        <v>361479684.80000001</v>
      </c>
      <c r="D28" s="33">
        <f>220939108.12</f>
        <v>220939108.12</v>
      </c>
      <c r="E28" s="33" t="s">
        <v>225</v>
      </c>
      <c r="F28" s="33" t="s">
        <v>225</v>
      </c>
      <c r="G28" s="33" t="s">
        <v>225</v>
      </c>
      <c r="H28" s="33" t="s">
        <v>225</v>
      </c>
      <c r="I28" s="33" t="s">
        <v>225</v>
      </c>
      <c r="J28" s="53">
        <f t="shared" si="0"/>
        <v>0.1283590871569614</v>
      </c>
      <c r="K28" s="53">
        <f t="shared" si="1"/>
        <v>61.120753782398999</v>
      </c>
      <c r="L28" s="42"/>
    </row>
    <row r="29" spans="2:12" ht="12.95" customHeight="1" outlineLevel="1" x14ac:dyDescent="0.2">
      <c r="B29" s="121" t="s">
        <v>6</v>
      </c>
      <c r="C29" s="33">
        <f>59944409.58</f>
        <v>59944409.579999998</v>
      </c>
      <c r="D29" s="33">
        <f>8398492.47</f>
        <v>8398492.4700000007</v>
      </c>
      <c r="E29" s="33" t="s">
        <v>225</v>
      </c>
      <c r="F29" s="33" t="s">
        <v>225</v>
      </c>
      <c r="G29" s="33" t="s">
        <v>225</v>
      </c>
      <c r="H29" s="33" t="s">
        <v>225</v>
      </c>
      <c r="I29" s="33" t="s">
        <v>225</v>
      </c>
      <c r="J29" s="53">
        <f t="shared" si="0"/>
        <v>4.8792757249581228E-3</v>
      </c>
      <c r="K29" s="53">
        <f t="shared" si="1"/>
        <v>14.010468246904036</v>
      </c>
      <c r="L29" s="42"/>
    </row>
    <row r="30" spans="2:12" ht="27.95" customHeight="1" outlineLevel="1" x14ac:dyDescent="0.2">
      <c r="B30" s="119" t="s">
        <v>11</v>
      </c>
      <c r="C30" s="33">
        <f>1937258883.79</f>
        <v>1937258883.79</v>
      </c>
      <c r="D30" s="33">
        <f>813796704.29</f>
        <v>813796704.28999996</v>
      </c>
      <c r="E30" s="33" t="s">
        <v>225</v>
      </c>
      <c r="F30" s="33" t="s">
        <v>225</v>
      </c>
      <c r="G30" s="33" t="s">
        <v>225</v>
      </c>
      <c r="H30" s="33" t="s">
        <v>225</v>
      </c>
      <c r="I30" s="33" t="s">
        <v>225</v>
      </c>
      <c r="J30" s="53">
        <f t="shared" si="0"/>
        <v>0.47279181573084395</v>
      </c>
      <c r="K30" s="53">
        <f t="shared" si="1"/>
        <v>42.007638271758005</v>
      </c>
      <c r="L30" s="42"/>
    </row>
    <row r="31" spans="2:12" ht="12.95" customHeight="1" outlineLevel="1" x14ac:dyDescent="0.2">
      <c r="B31" s="121" t="s">
        <v>6</v>
      </c>
      <c r="C31" s="33">
        <f>411858136.86</f>
        <v>411858136.86000001</v>
      </c>
      <c r="D31" s="33">
        <f>75829173.09</f>
        <v>75829173.090000004</v>
      </c>
      <c r="E31" s="33" t="s">
        <v>225</v>
      </c>
      <c r="F31" s="33" t="s">
        <v>225</v>
      </c>
      <c r="G31" s="33" t="s">
        <v>225</v>
      </c>
      <c r="H31" s="33" t="s">
        <v>225</v>
      </c>
      <c r="I31" s="33" t="s">
        <v>225</v>
      </c>
      <c r="J31" s="53">
        <f t="shared" si="0"/>
        <v>4.405450678479738E-2</v>
      </c>
      <c r="K31" s="53">
        <f t="shared" si="1"/>
        <v>18.411478687326763</v>
      </c>
      <c r="L31" s="42"/>
    </row>
    <row r="32" spans="2:12" ht="33.75" outlineLevel="1" x14ac:dyDescent="0.2">
      <c r="B32" s="119" t="s">
        <v>311</v>
      </c>
      <c r="C32" s="33">
        <f>2363034163.63</f>
        <v>2363034163.6300001</v>
      </c>
      <c r="D32" s="33">
        <f>698209572.27</f>
        <v>698209572.26999998</v>
      </c>
      <c r="E32" s="33" t="s">
        <v>225</v>
      </c>
      <c r="F32" s="33" t="s">
        <v>225</v>
      </c>
      <c r="G32" s="33" t="s">
        <v>225</v>
      </c>
      <c r="H32" s="33" t="s">
        <v>225</v>
      </c>
      <c r="I32" s="33" t="s">
        <v>225</v>
      </c>
      <c r="J32" s="53">
        <f t="shared" si="0"/>
        <v>0.405639110718927</v>
      </c>
      <c r="K32" s="53">
        <f t="shared" si="1"/>
        <v>29.547163685413583</v>
      </c>
      <c r="L32" s="42"/>
    </row>
    <row r="33" spans="2:12" ht="12.95" customHeight="1" outlineLevel="1" x14ac:dyDescent="0.2">
      <c r="B33" s="121" t="s">
        <v>6</v>
      </c>
      <c r="C33" s="33">
        <f>2037013284.13</f>
        <v>2037013284.1300001</v>
      </c>
      <c r="D33" s="33">
        <f>556235039.31</f>
        <v>556235039.30999994</v>
      </c>
      <c r="E33" s="33" t="s">
        <v>225</v>
      </c>
      <c r="F33" s="33" t="s">
        <v>225</v>
      </c>
      <c r="G33" s="33" t="s">
        <v>225</v>
      </c>
      <c r="H33" s="33" t="s">
        <v>225</v>
      </c>
      <c r="I33" s="33" t="s">
        <v>225</v>
      </c>
      <c r="J33" s="53">
        <f t="shared" si="0"/>
        <v>0.32315610621442992</v>
      </c>
      <c r="K33" s="53">
        <f t="shared" si="1"/>
        <v>27.306402154739288</v>
      </c>
      <c r="L33" s="42"/>
    </row>
    <row r="34" spans="2:12" ht="12.95" customHeight="1" outlineLevel="1" x14ac:dyDescent="0.2">
      <c r="B34" s="119" t="s">
        <v>8</v>
      </c>
      <c r="C34" s="33">
        <f>838315530.25</f>
        <v>838315530.25</v>
      </c>
      <c r="D34" s="33">
        <f>295757006.31</f>
        <v>295757006.31</v>
      </c>
      <c r="E34" s="33" t="s">
        <v>225</v>
      </c>
      <c r="F34" s="33" t="s">
        <v>225</v>
      </c>
      <c r="G34" s="33" t="s">
        <v>225</v>
      </c>
      <c r="H34" s="33" t="s">
        <v>225</v>
      </c>
      <c r="I34" s="33" t="s">
        <v>225</v>
      </c>
      <c r="J34" s="53">
        <f t="shared" si="0"/>
        <v>0.17182607313508363</v>
      </c>
      <c r="K34" s="53">
        <f t="shared" si="1"/>
        <v>35.279914976858443</v>
      </c>
      <c r="L34" s="42"/>
    </row>
    <row r="35" spans="2:12" ht="12.95" customHeight="1" outlineLevel="1" x14ac:dyDescent="0.2">
      <c r="B35" s="121" t="s">
        <v>6</v>
      </c>
      <c r="C35" s="33">
        <f>699387268.98</f>
        <v>699387268.98000002</v>
      </c>
      <c r="D35" s="33">
        <f>220931782.35</f>
        <v>220931782.34999999</v>
      </c>
      <c r="E35" s="33" t="s">
        <v>225</v>
      </c>
      <c r="F35" s="33" t="s">
        <v>225</v>
      </c>
      <c r="G35" s="33" t="s">
        <v>225</v>
      </c>
      <c r="H35" s="33" t="s">
        <v>225</v>
      </c>
      <c r="I35" s="33" t="s">
        <v>225</v>
      </c>
      <c r="J35" s="53">
        <f t="shared" si="0"/>
        <v>0.12835483110126386</v>
      </c>
      <c r="K35" s="53">
        <f t="shared" si="1"/>
        <v>31.58933428574003</v>
      </c>
      <c r="L35" s="42"/>
    </row>
    <row r="36" spans="2:12" ht="67.5" outlineLevel="1" x14ac:dyDescent="0.2">
      <c r="B36" s="119" t="s">
        <v>370</v>
      </c>
      <c r="C36" s="33">
        <f>24908370.35</f>
        <v>24908370.350000001</v>
      </c>
      <c r="D36" s="33">
        <f>1183198</f>
        <v>1183198</v>
      </c>
      <c r="E36" s="33" t="s">
        <v>225</v>
      </c>
      <c r="F36" s="33" t="s">
        <v>225</v>
      </c>
      <c r="G36" s="33" t="s">
        <v>225</v>
      </c>
      <c r="H36" s="33" t="s">
        <v>225</v>
      </c>
      <c r="I36" s="33" t="s">
        <v>225</v>
      </c>
      <c r="J36" s="53">
        <f t="shared" si="0"/>
        <v>6.8740304284859355E-4</v>
      </c>
      <c r="K36" s="53">
        <f t="shared" si="1"/>
        <v>4.7502023752429068</v>
      </c>
      <c r="L36" s="42"/>
    </row>
    <row r="37" spans="2:12" ht="12.95" customHeight="1" outlineLevel="1" x14ac:dyDescent="0.2">
      <c r="B37" s="121" t="s">
        <v>357</v>
      </c>
      <c r="C37" s="33">
        <f>22097468.84</f>
        <v>22097468.84</v>
      </c>
      <c r="D37" s="33">
        <f>200000</f>
        <v>200000</v>
      </c>
      <c r="E37" s="33" t="s">
        <v>225</v>
      </c>
      <c r="F37" s="33" t="s">
        <v>225</v>
      </c>
      <c r="G37" s="33" t="s">
        <v>225</v>
      </c>
      <c r="H37" s="33" t="s">
        <v>225</v>
      </c>
      <c r="I37" s="33" t="s">
        <v>225</v>
      </c>
      <c r="J37" s="53">
        <f t="shared" si="0"/>
        <v>1.1619408465000678E-4</v>
      </c>
      <c r="K37" s="53">
        <f t="shared" si="1"/>
        <v>0.90508103642154525</v>
      </c>
      <c r="L37" s="42"/>
    </row>
    <row r="38" spans="2:12" ht="45" outlineLevel="1" x14ac:dyDescent="0.2">
      <c r="B38" s="122" t="s">
        <v>353</v>
      </c>
      <c r="C38" s="33">
        <f>32925498882.81</f>
        <v>32925498882.810001</v>
      </c>
      <c r="D38" s="33">
        <f>5386193888.62</f>
        <v>5386193888.6199999</v>
      </c>
      <c r="E38" s="33" t="s">
        <v>225</v>
      </c>
      <c r="F38" s="33" t="s">
        <v>225</v>
      </c>
      <c r="G38" s="33" t="s">
        <v>225</v>
      </c>
      <c r="H38" s="33" t="s">
        <v>225</v>
      </c>
      <c r="I38" s="33" t="s">
        <v>225</v>
      </c>
      <c r="J38" s="53">
        <f t="shared" si="0"/>
        <v>3.1292193431783071</v>
      </c>
      <c r="K38" s="53">
        <f t="shared" si="1"/>
        <v>16.358731291485658</v>
      </c>
      <c r="L38" s="42"/>
    </row>
    <row r="39" spans="2:12" ht="12.95" customHeight="1" outlineLevel="1" x14ac:dyDescent="0.2">
      <c r="B39" s="123" t="s">
        <v>6</v>
      </c>
      <c r="C39" s="33">
        <f>31947696483.38</f>
        <v>31947696483.380001</v>
      </c>
      <c r="D39" s="33">
        <f>4773565818.92</f>
        <v>4773565818.9200001</v>
      </c>
      <c r="E39" s="33" t="s">
        <v>225</v>
      </c>
      <c r="F39" s="33" t="s">
        <v>225</v>
      </c>
      <c r="G39" s="33" t="s">
        <v>225</v>
      </c>
      <c r="H39" s="33" t="s">
        <v>225</v>
      </c>
      <c r="I39" s="33" t="s">
        <v>225</v>
      </c>
      <c r="J39" s="53">
        <f t="shared" si="0"/>
        <v>2.7733005542298472</v>
      </c>
      <c r="K39" s="53">
        <f t="shared" si="1"/>
        <v>14.941815355618298</v>
      </c>
      <c r="L39" s="42"/>
    </row>
    <row r="40" spans="2:12" ht="22.5" outlineLevel="1" x14ac:dyDescent="0.2">
      <c r="B40" s="122" t="s">
        <v>387</v>
      </c>
      <c r="C40" s="33">
        <f>3128011496.09</f>
        <v>3128011496.0900002</v>
      </c>
      <c r="D40" s="33">
        <f>2860135607.94</f>
        <v>2860135607.9400001</v>
      </c>
      <c r="E40" s="33" t="s">
        <v>225</v>
      </c>
      <c r="F40" s="33" t="s">
        <v>225</v>
      </c>
      <c r="G40" s="33" t="s">
        <v>225</v>
      </c>
      <c r="H40" s="33" t="s">
        <v>225</v>
      </c>
      <c r="I40" s="33" t="s">
        <v>225</v>
      </c>
      <c r="J40" s="53">
        <f t="shared" si="0"/>
        <v>1.6616541946973948</v>
      </c>
      <c r="K40" s="53">
        <f t="shared" si="1"/>
        <v>91.436224307844014</v>
      </c>
      <c r="L40" s="42"/>
    </row>
    <row r="41" spans="2:12" ht="12.95" customHeight="1" outlineLevel="1" x14ac:dyDescent="0.2">
      <c r="B41" s="123" t="s">
        <v>6</v>
      </c>
      <c r="C41" s="33">
        <f>13204232.34</f>
        <v>13204232.34</v>
      </c>
      <c r="D41" s="33">
        <f>377839.84</f>
        <v>377839.84</v>
      </c>
      <c r="E41" s="33" t="s">
        <v>225</v>
      </c>
      <c r="F41" s="33" t="s">
        <v>225</v>
      </c>
      <c r="G41" s="33" t="s">
        <v>225</v>
      </c>
      <c r="H41" s="33" t="s">
        <v>225</v>
      </c>
      <c r="I41" s="33" t="s">
        <v>225</v>
      </c>
      <c r="J41" s="53">
        <f t="shared" si="0"/>
        <v>2.1951377176552509E-4</v>
      </c>
      <c r="K41" s="53">
        <f t="shared" si="1"/>
        <v>2.861505540578817</v>
      </c>
      <c r="L41" s="42"/>
    </row>
    <row r="42" spans="2:12" ht="14.1" customHeight="1" outlineLevel="1" x14ac:dyDescent="0.2">
      <c r="B42" s="120" t="s">
        <v>286</v>
      </c>
      <c r="C42" s="84">
        <f>2360549751.16</f>
        <v>2360549751.1599998</v>
      </c>
      <c r="D42" s="84">
        <f>850494322.25</f>
        <v>850494322.25</v>
      </c>
      <c r="E42" s="86" t="s">
        <v>225</v>
      </c>
      <c r="F42" s="86" t="s">
        <v>225</v>
      </c>
      <c r="G42" s="86" t="s">
        <v>225</v>
      </c>
      <c r="H42" s="86" t="s">
        <v>225</v>
      </c>
      <c r="I42" s="86" t="s">
        <v>225</v>
      </c>
      <c r="J42" s="85">
        <f t="shared" si="0"/>
        <v>0.4941120463693332</v>
      </c>
      <c r="K42" s="85">
        <f t="shared" si="1"/>
        <v>36.029502103569641</v>
      </c>
      <c r="L42" s="42"/>
    </row>
    <row r="43" spans="2:12" ht="12.95" customHeight="1" outlineLevel="1" x14ac:dyDescent="0.2">
      <c r="B43" s="126" t="s">
        <v>287</v>
      </c>
      <c r="C43" s="31">
        <f>1719243560.17</f>
        <v>1719243560.1700001</v>
      </c>
      <c r="D43" s="31">
        <f>575492377.24</f>
        <v>575492377.24000001</v>
      </c>
      <c r="E43" s="31" t="s">
        <v>225</v>
      </c>
      <c r="F43" s="31" t="s">
        <v>225</v>
      </c>
      <c r="G43" s="31" t="s">
        <v>225</v>
      </c>
      <c r="H43" s="31" t="s">
        <v>225</v>
      </c>
      <c r="I43" s="31" t="s">
        <v>225</v>
      </c>
      <c r="J43" s="53">
        <f t="shared" si="0"/>
        <v>0.33434404998229095</v>
      </c>
      <c r="K43" s="53">
        <f t="shared" si="1"/>
        <v>33.473580507877251</v>
      </c>
      <c r="L43" s="42"/>
    </row>
    <row r="44" spans="2:12" ht="14.1" customHeight="1" outlineLevel="1" x14ac:dyDescent="0.2">
      <c r="B44" s="120" t="s">
        <v>329</v>
      </c>
      <c r="C44" s="84">
        <f>17776943805.32</f>
        <v>17776943805.32</v>
      </c>
      <c r="D44" s="84">
        <f>5165398586.48001</f>
        <v>5165398586.48001</v>
      </c>
      <c r="E44" s="86" t="s">
        <v>225</v>
      </c>
      <c r="F44" s="86" t="s">
        <v>225</v>
      </c>
      <c r="G44" s="86" t="s">
        <v>225</v>
      </c>
      <c r="H44" s="86" t="s">
        <v>225</v>
      </c>
      <c r="I44" s="86" t="s">
        <v>225</v>
      </c>
      <c r="J44" s="85">
        <f t="shared" si="0"/>
        <v>3.0009438030424183</v>
      </c>
      <c r="K44" s="85">
        <f t="shared" si="1"/>
        <v>29.056730127786036</v>
      </c>
      <c r="L44" s="42"/>
    </row>
    <row r="45" spans="2:12" ht="12.95" customHeight="1" outlineLevel="1" x14ac:dyDescent="0.2">
      <c r="B45" s="126" t="s">
        <v>330</v>
      </c>
      <c r="C45" s="31">
        <f>14534561592.21</f>
        <v>14534561592.209999</v>
      </c>
      <c r="D45" s="31">
        <f>3661568037.04</f>
        <v>3661568037.04</v>
      </c>
      <c r="E45" s="31" t="s">
        <v>225</v>
      </c>
      <c r="F45" s="31" t="s">
        <v>225</v>
      </c>
      <c r="G45" s="31" t="s">
        <v>225</v>
      </c>
      <c r="H45" s="31" t="s">
        <v>225</v>
      </c>
      <c r="I45" s="31" t="s">
        <v>225</v>
      </c>
      <c r="J45" s="53">
        <f t="shared" si="0"/>
        <v>2.1272627322379245</v>
      </c>
      <c r="K45" s="53">
        <f t="shared" si="1"/>
        <v>25.192146414670454</v>
      </c>
      <c r="L45" s="42"/>
    </row>
    <row r="46" spans="2:12" ht="27.95" customHeight="1" x14ac:dyDescent="0.2">
      <c r="B46" s="115" t="s">
        <v>228</v>
      </c>
      <c r="C46" s="84">
        <f>C47+C48+C49+C50+C51+C52</f>
        <v>84464023242.880005</v>
      </c>
      <c r="D46" s="84">
        <f>D47+D48+D49+D50+D51+D52</f>
        <v>49659990533</v>
      </c>
      <c r="E46" s="86" t="s">
        <v>225</v>
      </c>
      <c r="F46" s="86" t="s">
        <v>225</v>
      </c>
      <c r="G46" s="86" t="s">
        <v>225</v>
      </c>
      <c r="H46" s="86" t="s">
        <v>225</v>
      </c>
      <c r="I46" s="86" t="s">
        <v>225</v>
      </c>
      <c r="J46" s="85">
        <f t="shared" si="0"/>
        <v>28.850985718549687</v>
      </c>
      <c r="K46" s="85">
        <f t="shared" si="1"/>
        <v>58.794251832168257</v>
      </c>
      <c r="L46" s="42"/>
    </row>
    <row r="47" spans="2:12" ht="15" customHeight="1" outlineLevel="1" x14ac:dyDescent="0.2">
      <c r="B47" s="45" t="s">
        <v>196</v>
      </c>
      <c r="C47" s="31">
        <f>16518980685</f>
        <v>16518980685</v>
      </c>
      <c r="D47" s="31">
        <f>8258575128</f>
        <v>8258575128</v>
      </c>
      <c r="E47" s="31" t="s">
        <v>225</v>
      </c>
      <c r="F47" s="31" t="s">
        <v>225</v>
      </c>
      <c r="G47" s="31" t="s">
        <v>225</v>
      </c>
      <c r="H47" s="31" t="s">
        <v>225</v>
      </c>
      <c r="I47" s="31" t="s">
        <v>225</v>
      </c>
      <c r="J47" s="53">
        <f t="shared" si="0"/>
        <v>4.7979878875563626</v>
      </c>
      <c r="K47" s="53">
        <f t="shared" si="1"/>
        <v>49.994459618801834</v>
      </c>
      <c r="L47" s="42"/>
    </row>
    <row r="48" spans="2:12" ht="15" customHeight="1" outlineLevel="1" x14ac:dyDescent="0.2">
      <c r="B48" s="45" t="s">
        <v>195</v>
      </c>
      <c r="C48" s="31">
        <f>64113908072.78</f>
        <v>64113908072.779999</v>
      </c>
      <c r="D48" s="31">
        <f>39451900744</f>
        <v>39451900744</v>
      </c>
      <c r="E48" s="31" t="s">
        <v>225</v>
      </c>
      <c r="F48" s="31" t="s">
        <v>225</v>
      </c>
      <c r="G48" s="31" t="s">
        <v>225</v>
      </c>
      <c r="H48" s="31" t="s">
        <v>225</v>
      </c>
      <c r="I48" s="31" t="s">
        <v>225</v>
      </c>
      <c r="J48" s="53">
        <f t="shared" si="0"/>
        <v>22.920387473260007</v>
      </c>
      <c r="K48" s="53">
        <f t="shared" si="1"/>
        <v>61.534075725372254</v>
      </c>
      <c r="L48" s="42"/>
    </row>
    <row r="49" spans="1:26" ht="15" customHeight="1" outlineLevel="1" x14ac:dyDescent="0.2">
      <c r="B49" s="45" t="s">
        <v>194</v>
      </c>
      <c r="C49" s="31">
        <f>3430257</f>
        <v>3430257</v>
      </c>
      <c r="D49" s="31">
        <f>0</f>
        <v>0</v>
      </c>
      <c r="E49" s="31" t="s">
        <v>225</v>
      </c>
      <c r="F49" s="31" t="s">
        <v>225</v>
      </c>
      <c r="G49" s="31" t="s">
        <v>225</v>
      </c>
      <c r="H49" s="31" t="s">
        <v>225</v>
      </c>
      <c r="I49" s="31" t="s">
        <v>225</v>
      </c>
      <c r="J49" s="53">
        <f t="shared" si="0"/>
        <v>0</v>
      </c>
      <c r="K49" s="53">
        <f t="shared" si="1"/>
        <v>0</v>
      </c>
      <c r="L49" s="42"/>
    </row>
    <row r="50" spans="1:26" ht="15" customHeight="1" outlineLevel="1" x14ac:dyDescent="0.2">
      <c r="B50" s="45" t="s">
        <v>193</v>
      </c>
      <c r="C50" s="31">
        <f>2004939081</f>
        <v>2004939081</v>
      </c>
      <c r="D50" s="31">
        <f>1000839028</f>
        <v>1000839028</v>
      </c>
      <c r="E50" s="31" t="s">
        <v>225</v>
      </c>
      <c r="F50" s="31" t="s">
        <v>225</v>
      </c>
      <c r="G50" s="31" t="s">
        <v>225</v>
      </c>
      <c r="H50" s="31" t="s">
        <v>225</v>
      </c>
      <c r="I50" s="31" t="s">
        <v>225</v>
      </c>
      <c r="J50" s="53">
        <f t="shared" si="0"/>
        <v>0.5814578737023125</v>
      </c>
      <c r="K50" s="53">
        <f t="shared" si="1"/>
        <v>49.918675209862897</v>
      </c>
      <c r="L50" s="42"/>
    </row>
    <row r="51" spans="1:26" ht="15" customHeight="1" outlineLevel="1" x14ac:dyDescent="0.2">
      <c r="B51" s="45" t="s">
        <v>222</v>
      </c>
      <c r="C51" s="31">
        <f>1169058479</f>
        <v>1169058479</v>
      </c>
      <c r="D51" s="31">
        <f>584529240</f>
        <v>584529240</v>
      </c>
      <c r="E51" s="31" t="s">
        <v>225</v>
      </c>
      <c r="F51" s="31" t="s">
        <v>225</v>
      </c>
      <c r="G51" s="31" t="s">
        <v>225</v>
      </c>
      <c r="H51" s="31" t="s">
        <v>225</v>
      </c>
      <c r="I51" s="31" t="s">
        <v>225</v>
      </c>
      <c r="J51" s="53">
        <f t="shared" si="0"/>
        <v>0.33959419996482065</v>
      </c>
      <c r="K51" s="53">
        <f t="shared" si="1"/>
        <v>50.000000042769457</v>
      </c>
      <c r="L51" s="42"/>
    </row>
    <row r="52" spans="1:26" ht="15" customHeight="1" outlineLevel="1" x14ac:dyDescent="0.2">
      <c r="B52" s="45" t="s">
        <v>191</v>
      </c>
      <c r="C52" s="31">
        <f>653706668.1</f>
        <v>653706668.10000002</v>
      </c>
      <c r="D52" s="31">
        <f>364146393</f>
        <v>364146393</v>
      </c>
      <c r="E52" s="31" t="s">
        <v>225</v>
      </c>
      <c r="F52" s="31" t="s">
        <v>225</v>
      </c>
      <c r="G52" s="31" t="s">
        <v>225</v>
      </c>
      <c r="H52" s="31" t="s">
        <v>225</v>
      </c>
      <c r="I52" s="31" t="s">
        <v>225</v>
      </c>
      <c r="J52" s="53">
        <f t="shared" si="0"/>
        <v>0.21155828406618318</v>
      </c>
      <c r="K52" s="53">
        <f t="shared" si="1"/>
        <v>55.704861334578759</v>
      </c>
      <c r="L52" s="42"/>
    </row>
    <row r="53" spans="1:26" s="6" customFormat="1" ht="13.5" customHeight="1" x14ac:dyDescent="0.2">
      <c r="A53" s="3"/>
      <c r="B53" s="26"/>
      <c r="C53" s="8"/>
      <c r="D53" s="9"/>
      <c r="E53" s="18"/>
      <c r="F53" s="18"/>
      <c r="G53" s="18"/>
      <c r="H53" s="18"/>
      <c r="I53" s="18"/>
      <c r="J53" s="10"/>
      <c r="K53" s="10"/>
      <c r="L53" s="4"/>
    </row>
    <row r="54" spans="1:26" s="6" customFormat="1" ht="18.75" customHeight="1" x14ac:dyDescent="0.2">
      <c r="A54" s="3"/>
      <c r="B54" s="88" t="s">
        <v>5</v>
      </c>
      <c r="C54" s="89">
        <f t="shared" ref="C54:I54" si="4">+C6</f>
        <v>353110345155.42999</v>
      </c>
      <c r="D54" s="89">
        <f t="shared" si="4"/>
        <v>172125801930.82001</v>
      </c>
      <c r="E54" s="89">
        <f t="shared" si="4"/>
        <v>2353326002.1500001</v>
      </c>
      <c r="F54" s="89">
        <f t="shared" si="4"/>
        <v>438935213.54000002</v>
      </c>
      <c r="G54" s="89">
        <f t="shared" si="4"/>
        <v>60673591.990000002</v>
      </c>
      <c r="H54" s="89">
        <f t="shared" si="4"/>
        <v>210094119.77000001</v>
      </c>
      <c r="I54" s="89">
        <f t="shared" si="4"/>
        <v>2842404.54</v>
      </c>
      <c r="J54" s="90">
        <f>IF($D$54=0,"",100*$D54/$D$54)</f>
        <v>100</v>
      </c>
      <c r="K54" s="90">
        <f>IF(C54=0,"",100*D54/C54)</f>
        <v>48.745612891928921</v>
      </c>
      <c r="L54" s="4"/>
    </row>
    <row r="55" spans="1:26" s="6" customFormat="1" ht="20.100000000000001" customHeight="1" x14ac:dyDescent="0.2">
      <c r="A55" s="3"/>
      <c r="B55" s="81" t="s">
        <v>297</v>
      </c>
      <c r="C55" s="82">
        <f>67049906136.4299</f>
        <v>67049906136.429901</v>
      </c>
      <c r="D55" s="82">
        <f>14821168941.14</f>
        <v>14821168941.139999</v>
      </c>
      <c r="E55" s="82">
        <f>0</f>
        <v>0</v>
      </c>
      <c r="F55" s="82">
        <f>0</f>
        <v>0</v>
      </c>
      <c r="G55" s="82">
        <f>0</f>
        <v>0</v>
      </c>
      <c r="H55" s="82">
        <f>0</f>
        <v>0</v>
      </c>
      <c r="I55" s="82">
        <f>6350</f>
        <v>6350</v>
      </c>
      <c r="J55" s="54">
        <f>IF($D$54=0,"",100*$D55/$D$54)</f>
        <v>8.6106607927943628</v>
      </c>
      <c r="K55" s="54">
        <f>IF(C55=0,"",100*D55/C55)</f>
        <v>22.104682609074207</v>
      </c>
      <c r="L55" s="4"/>
    </row>
    <row r="56" spans="1:26" s="6" customFormat="1" ht="20.100000000000001" customHeight="1" x14ac:dyDescent="0.2">
      <c r="A56" s="3"/>
      <c r="B56" s="81" t="s">
        <v>300</v>
      </c>
      <c r="C56" s="82">
        <f>+C54-C55</f>
        <v>286060439019.00012</v>
      </c>
      <c r="D56" s="82">
        <f t="shared" ref="D56:I56" si="5">+D54-D55</f>
        <v>157304632989.67999</v>
      </c>
      <c r="E56" s="82">
        <f t="shared" si="5"/>
        <v>2353326002.1500001</v>
      </c>
      <c r="F56" s="82">
        <f t="shared" si="5"/>
        <v>438935213.54000002</v>
      </c>
      <c r="G56" s="82">
        <f t="shared" si="5"/>
        <v>60673591.990000002</v>
      </c>
      <c r="H56" s="82">
        <f t="shared" si="5"/>
        <v>210094119.77000001</v>
      </c>
      <c r="I56" s="82">
        <f t="shared" si="5"/>
        <v>2836054.54</v>
      </c>
      <c r="J56" s="54">
        <f>IF($D$54=0,"",100*$D56/$D$54)</f>
        <v>91.389339207205637</v>
      </c>
      <c r="K56" s="54">
        <f>IF(C56=0,"",100*D56/C56)</f>
        <v>54.989999151623977</v>
      </c>
      <c r="L56" s="4"/>
    </row>
    <row r="57" spans="1:26" s="6" customFormat="1" ht="13.5" customHeight="1" x14ac:dyDescent="0.2">
      <c r="A57" s="3"/>
      <c r="B57" s="131" t="s">
        <v>403</v>
      </c>
      <c r="C57" s="131"/>
      <c r="D57" s="131"/>
      <c r="E57" s="131"/>
      <c r="F57" s="131"/>
      <c r="G57" s="18"/>
      <c r="H57" s="18"/>
      <c r="I57" s="18"/>
      <c r="J57" s="18"/>
      <c r="K57" s="10"/>
      <c r="L57" s="10"/>
      <c r="M57" s="4"/>
    </row>
    <row r="58" spans="1:26" ht="27" customHeight="1" x14ac:dyDescent="0.2">
      <c r="B58" s="125" t="str">
        <f>CONCATENATE("Informacja z wykonania budżetów jednostek samorządu terytorialnego za ",$D$117," ",$C$118," roku")</f>
        <v>Informacja z wykonania budżetów jednostek samorządu terytorialnego za II Kwartały 2023 roku</v>
      </c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</row>
    <row r="59" spans="1:26" s="6" customFormat="1" ht="9.75" customHeight="1" x14ac:dyDescent="0.2">
      <c r="B59" s="7"/>
      <c r="C59" s="8"/>
      <c r="D59" s="9"/>
      <c r="E59" s="9"/>
      <c r="F59" s="5"/>
      <c r="G59" s="5"/>
      <c r="H59" s="5"/>
      <c r="I59" s="5"/>
      <c r="J59" s="5"/>
      <c r="K59" s="10"/>
      <c r="L59" s="10"/>
      <c r="M59" s="4"/>
    </row>
    <row r="60" spans="1:26" ht="29.25" customHeight="1" x14ac:dyDescent="0.2">
      <c r="B60" s="158" t="s">
        <v>0</v>
      </c>
      <c r="C60" s="147" t="s">
        <v>218</v>
      </c>
      <c r="D60" s="147" t="s">
        <v>220</v>
      </c>
      <c r="E60" s="147" t="s">
        <v>219</v>
      </c>
      <c r="F60" s="147" t="s">
        <v>40</v>
      </c>
      <c r="G60" s="147"/>
      <c r="H60" s="147"/>
      <c r="I60" s="144" t="s">
        <v>337</v>
      </c>
      <c r="J60" s="144" t="s">
        <v>2</v>
      </c>
      <c r="K60" s="141" t="s">
        <v>67</v>
      </c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8" customHeight="1" x14ac:dyDescent="0.2">
      <c r="B61" s="158"/>
      <c r="C61" s="147"/>
      <c r="D61" s="147"/>
      <c r="E61" s="147"/>
      <c r="F61" s="133" t="s">
        <v>221</v>
      </c>
      <c r="G61" s="148" t="s">
        <v>181</v>
      </c>
      <c r="H61" s="135"/>
      <c r="I61" s="145"/>
      <c r="J61" s="145"/>
      <c r="K61" s="142"/>
      <c r="L61" s="12"/>
      <c r="M61" s="13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66.75" customHeight="1" x14ac:dyDescent="0.2">
      <c r="B62" s="158"/>
      <c r="C62" s="147"/>
      <c r="D62" s="147"/>
      <c r="E62" s="147"/>
      <c r="F62" s="135"/>
      <c r="G62" s="20" t="s">
        <v>200</v>
      </c>
      <c r="H62" s="20" t="s">
        <v>201</v>
      </c>
      <c r="I62" s="146"/>
      <c r="J62" s="146"/>
      <c r="K62" s="143"/>
      <c r="L62" s="12"/>
      <c r="M62" s="11"/>
      <c r="N62" s="28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3.5" customHeight="1" x14ac:dyDescent="0.2">
      <c r="B63" s="158"/>
      <c r="C63" s="159" t="s">
        <v>305</v>
      </c>
      <c r="D63" s="160"/>
      <c r="E63" s="160"/>
      <c r="F63" s="160"/>
      <c r="G63" s="160"/>
      <c r="H63" s="161"/>
      <c r="I63" s="108"/>
      <c r="J63" s="140" t="s">
        <v>4</v>
      </c>
      <c r="K63" s="140"/>
      <c r="N63" s="28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1.25" customHeight="1" x14ac:dyDescent="0.2">
      <c r="B64" s="19">
        <v>1</v>
      </c>
      <c r="C64" s="21">
        <v>2</v>
      </c>
      <c r="D64" s="21">
        <v>3</v>
      </c>
      <c r="E64" s="21">
        <v>4</v>
      </c>
      <c r="F64" s="19">
        <v>5</v>
      </c>
      <c r="G64" s="19">
        <v>6</v>
      </c>
      <c r="H64" s="21">
        <v>7</v>
      </c>
      <c r="I64" s="21">
        <v>8</v>
      </c>
      <c r="J64" s="19">
        <v>9</v>
      </c>
      <c r="K64" s="21">
        <v>10</v>
      </c>
      <c r="M64" s="11"/>
      <c r="N64" s="28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2:13" ht="27" customHeight="1" x14ac:dyDescent="0.2">
      <c r="B65" s="83" t="s">
        <v>229</v>
      </c>
      <c r="C65" s="89">
        <f>408521937942.07</f>
        <v>408521937942.07001</v>
      </c>
      <c r="D65" s="89">
        <f>167267807314.78</f>
        <v>167267807314.78</v>
      </c>
      <c r="E65" s="89">
        <f>301573584870.39</f>
        <v>301573584870.39001</v>
      </c>
      <c r="F65" s="89">
        <f>9296668407.24</f>
        <v>9296668407.2399998</v>
      </c>
      <c r="G65" s="89">
        <f>17627504.42</f>
        <v>17627504.420000002</v>
      </c>
      <c r="H65" s="89">
        <f>31706573.3</f>
        <v>31706573.300000001</v>
      </c>
      <c r="I65" s="105">
        <f>0</f>
        <v>0</v>
      </c>
      <c r="J65" s="76">
        <f>IF($D$65=0,"",100*$D65/$D$65)</f>
        <v>100</v>
      </c>
      <c r="K65" s="76">
        <f>IF(C65=0,"",100*D65/C65)</f>
        <v>40.944632779671977</v>
      </c>
    </row>
    <row r="66" spans="2:13" ht="16.5" customHeight="1" x14ac:dyDescent="0.2">
      <c r="B66" s="114" t="s">
        <v>42</v>
      </c>
      <c r="C66" s="39">
        <f>119637768892.94</f>
        <v>119637768892.94</v>
      </c>
      <c r="D66" s="39">
        <f>24855779587.23</f>
        <v>24855779587.23</v>
      </c>
      <c r="E66" s="39">
        <f>72645554146.4702</f>
        <v>72645554146.4702</v>
      </c>
      <c r="F66" s="39">
        <f>3023221088.6</f>
        <v>3023221088.5999999</v>
      </c>
      <c r="G66" s="39">
        <f>3334037.41</f>
        <v>3334037.41</v>
      </c>
      <c r="H66" s="39">
        <f>8427933.51</f>
        <v>8427933.5099999998</v>
      </c>
      <c r="I66" s="106">
        <f>0</f>
        <v>0</v>
      </c>
      <c r="J66" s="76">
        <f t="shared" ref="J66:J74" si="6">IF($D$65=0,"",100*$D66/$D$65)</f>
        <v>14.859870519169357</v>
      </c>
      <c r="K66" s="76">
        <f t="shared" ref="K66:K74" si="7">IF(C66=0,"",100*D66/C66)</f>
        <v>20.775863523059041</v>
      </c>
    </row>
    <row r="67" spans="2:13" ht="18" customHeight="1" outlineLevel="1" x14ac:dyDescent="0.2">
      <c r="B67" s="45" t="s">
        <v>41</v>
      </c>
      <c r="C67" s="31">
        <f>115378381590.81</f>
        <v>115378381590.81</v>
      </c>
      <c r="D67" s="31">
        <f>22730059591.28</f>
        <v>22730059591.279999</v>
      </c>
      <c r="E67" s="31">
        <f>70136689911.0402</f>
        <v>70136689911.040207</v>
      </c>
      <c r="F67" s="31">
        <f>2994810807.99</f>
        <v>2994810807.9899998</v>
      </c>
      <c r="G67" s="31">
        <f>3334037.41</f>
        <v>3334037.41</v>
      </c>
      <c r="H67" s="31">
        <f>8427933.51</f>
        <v>8427933.5099999998</v>
      </c>
      <c r="I67" s="107">
        <f>0</f>
        <v>0</v>
      </c>
      <c r="J67" s="76">
        <f t="shared" si="6"/>
        <v>13.589022272830107</v>
      </c>
      <c r="K67" s="76">
        <f t="shared" si="7"/>
        <v>19.700449319780088</v>
      </c>
    </row>
    <row r="68" spans="2:13" ht="27" customHeight="1" x14ac:dyDescent="0.2">
      <c r="B68" s="115" t="s">
        <v>230</v>
      </c>
      <c r="C68" s="89">
        <f t="shared" ref="C68:I68" si="8">C65-C66</f>
        <v>288884169049.13</v>
      </c>
      <c r="D68" s="89">
        <f t="shared" si="8"/>
        <v>142412027727.54999</v>
      </c>
      <c r="E68" s="89">
        <f t="shared" si="8"/>
        <v>228928030723.9198</v>
      </c>
      <c r="F68" s="89">
        <f t="shared" si="8"/>
        <v>6273447318.6399994</v>
      </c>
      <c r="G68" s="89">
        <f t="shared" si="8"/>
        <v>14293467.010000002</v>
      </c>
      <c r="H68" s="89">
        <f t="shared" si="8"/>
        <v>23278639.789999999</v>
      </c>
      <c r="I68" s="105">
        <f t="shared" si="8"/>
        <v>0</v>
      </c>
      <c r="J68" s="76">
        <f t="shared" si="6"/>
        <v>85.140129480830637</v>
      </c>
      <c r="K68" s="76">
        <f t="shared" si="7"/>
        <v>49.297276550772231</v>
      </c>
    </row>
    <row r="69" spans="2:13" ht="23.1" customHeight="1" outlineLevel="1" x14ac:dyDescent="0.2">
      <c r="B69" s="45" t="s">
        <v>377</v>
      </c>
      <c r="C69" s="31">
        <f>124610042022.67</f>
        <v>124610042022.67</v>
      </c>
      <c r="D69" s="31">
        <f>64516215924.7801</f>
        <v>64516215924.780098</v>
      </c>
      <c r="E69" s="31">
        <f>110942395922.89</f>
        <v>110942395922.89</v>
      </c>
      <c r="F69" s="31">
        <f>2653573480.97</f>
        <v>2653573480.9699998</v>
      </c>
      <c r="G69" s="31">
        <f>919003.35</f>
        <v>919003.35</v>
      </c>
      <c r="H69" s="31">
        <f>1675191.64</f>
        <v>1675191.64</v>
      </c>
      <c r="I69" s="107">
        <f>0</f>
        <v>0</v>
      </c>
      <c r="J69" s="76">
        <f t="shared" si="6"/>
        <v>38.570611380926117</v>
      </c>
      <c r="K69" s="76">
        <f t="shared" si="7"/>
        <v>51.774491748460228</v>
      </c>
    </row>
    <row r="70" spans="2:13" ht="18" customHeight="1" outlineLevel="1" x14ac:dyDescent="0.2">
      <c r="B70" s="45" t="s">
        <v>199</v>
      </c>
      <c r="C70" s="31">
        <f>35058869871.6</f>
        <v>35058869871.599998</v>
      </c>
      <c r="D70" s="31">
        <f>18614870669.73</f>
        <v>18614870669.73</v>
      </c>
      <c r="E70" s="31">
        <f>27575557698.78</f>
        <v>27575557698.779999</v>
      </c>
      <c r="F70" s="31">
        <f>259295701.15</f>
        <v>259295701.15000001</v>
      </c>
      <c r="G70" s="31">
        <f>0</f>
        <v>0</v>
      </c>
      <c r="H70" s="31">
        <f>206806.21</f>
        <v>206806.21</v>
      </c>
      <c r="I70" s="107">
        <f>0</f>
        <v>0</v>
      </c>
      <c r="J70" s="76">
        <f t="shared" si="6"/>
        <v>11.128782620255683</v>
      </c>
      <c r="K70" s="76">
        <f t="shared" si="7"/>
        <v>53.096037430485673</v>
      </c>
    </row>
    <row r="71" spans="2:13" ht="18" customHeight="1" outlineLevel="1" x14ac:dyDescent="0.2">
      <c r="B71" s="45" t="s">
        <v>198</v>
      </c>
      <c r="C71" s="31">
        <f>6436533855.29</f>
        <v>6436533855.29</v>
      </c>
      <c r="D71" s="31">
        <f>3099901777.76</f>
        <v>3099901777.7600002</v>
      </c>
      <c r="E71" s="31">
        <f>4458817671.76</f>
        <v>4458817671.7600002</v>
      </c>
      <c r="F71" s="31">
        <f>156929358.43</f>
        <v>156929358.43000001</v>
      </c>
      <c r="G71" s="31">
        <f>0</f>
        <v>0</v>
      </c>
      <c r="H71" s="31">
        <f>469.93</f>
        <v>469.93</v>
      </c>
      <c r="I71" s="107">
        <f>0</f>
        <v>0</v>
      </c>
      <c r="J71" s="76">
        <f t="shared" si="6"/>
        <v>1.8532566592006068</v>
      </c>
      <c r="K71" s="76">
        <f t="shared" si="7"/>
        <v>48.16104206788691</v>
      </c>
    </row>
    <row r="72" spans="2:13" ht="23.1" customHeight="1" outlineLevel="1" x14ac:dyDescent="0.2">
      <c r="B72" s="45" t="s">
        <v>271</v>
      </c>
      <c r="C72" s="31">
        <f>358703979.06</f>
        <v>358703979.06</v>
      </c>
      <c r="D72" s="31">
        <f>21771478.46</f>
        <v>21771478.460000001</v>
      </c>
      <c r="E72" s="31">
        <f>56717968.11</f>
        <v>56717968.109999999</v>
      </c>
      <c r="F72" s="31">
        <f>0</f>
        <v>0</v>
      </c>
      <c r="G72" s="31">
        <f>0</f>
        <v>0</v>
      </c>
      <c r="H72" s="31">
        <f>0</f>
        <v>0</v>
      </c>
      <c r="I72" s="107">
        <f>0</f>
        <v>0</v>
      </c>
      <c r="J72" s="76">
        <f t="shared" si="6"/>
        <v>1.3015940610154842E-2</v>
      </c>
      <c r="K72" s="76">
        <f t="shared" si="7"/>
        <v>6.0694833988329719</v>
      </c>
    </row>
    <row r="73" spans="2:13" ht="23.1" customHeight="1" outlineLevel="1" x14ac:dyDescent="0.2">
      <c r="B73" s="45" t="s">
        <v>285</v>
      </c>
      <c r="C73" s="31">
        <f>22179700835.74</f>
        <v>22179700835.740002</v>
      </c>
      <c r="D73" s="31">
        <f>11638641408.83</f>
        <v>11638641408.83</v>
      </c>
      <c r="E73" s="31">
        <f>16566295598.17</f>
        <v>16566295598.17</v>
      </c>
      <c r="F73" s="31">
        <f>198033999.97</f>
        <v>198033999.97</v>
      </c>
      <c r="G73" s="31">
        <f>17613.64</f>
        <v>17613.64</v>
      </c>
      <c r="H73" s="31">
        <f>304561.08</f>
        <v>304561.08</v>
      </c>
      <c r="I73" s="107">
        <f>0</f>
        <v>0</v>
      </c>
      <c r="J73" s="76">
        <f t="shared" si="6"/>
        <v>6.9580881077297381</v>
      </c>
      <c r="K73" s="76">
        <f t="shared" si="7"/>
        <v>52.474293927696657</v>
      </c>
    </row>
    <row r="74" spans="2:13" ht="18" customHeight="1" outlineLevel="1" x14ac:dyDescent="0.2">
      <c r="B74" s="45" t="s">
        <v>197</v>
      </c>
      <c r="C74" s="31">
        <f t="shared" ref="C74:I74" si="9">C68-C69-C70-C71-C72-C73</f>
        <v>100240318484.77002</v>
      </c>
      <c r="D74" s="31">
        <f t="shared" si="9"/>
        <v>44520626467.989899</v>
      </c>
      <c r="E74" s="31">
        <f t="shared" si="9"/>
        <v>69328245864.209808</v>
      </c>
      <c r="F74" s="31">
        <f t="shared" si="9"/>
        <v>3005614778.1199999</v>
      </c>
      <c r="G74" s="31">
        <f t="shared" si="9"/>
        <v>13356850.020000001</v>
      </c>
      <c r="H74" s="31">
        <f t="shared" si="9"/>
        <v>21091610.93</v>
      </c>
      <c r="I74" s="107">
        <f t="shared" si="9"/>
        <v>0</v>
      </c>
      <c r="J74" s="76">
        <f t="shared" si="6"/>
        <v>26.616374772108347</v>
      </c>
      <c r="K74" s="76">
        <f t="shared" si="7"/>
        <v>44.413891676485576</v>
      </c>
    </row>
    <row r="75" spans="2:13" ht="18.75" customHeight="1" x14ac:dyDescent="0.2">
      <c r="B75" s="23" t="s">
        <v>54</v>
      </c>
      <c r="C75" s="39">
        <f>C6-C65</f>
        <v>-55411592786.640015</v>
      </c>
      <c r="D75" s="39">
        <f>D6-D65</f>
        <v>4857994616.0400085</v>
      </c>
      <c r="E75" s="41"/>
      <c r="F75" s="41"/>
      <c r="G75" s="14"/>
    </row>
    <row r="76" spans="2:13" ht="38.25" x14ac:dyDescent="0.2">
      <c r="B76" s="77" t="s">
        <v>380</v>
      </c>
      <c r="C76" s="78">
        <f>+C56-C68</f>
        <v>-2823730030.1298828</v>
      </c>
      <c r="D76" s="78">
        <f>+D56-D68</f>
        <v>14892605262.130005</v>
      </c>
      <c r="E76" s="41"/>
      <c r="F76" s="41"/>
      <c r="G76" s="14"/>
    </row>
    <row r="77" spans="2:13" ht="12" customHeight="1" x14ac:dyDescent="0.2">
      <c r="B77" s="79"/>
      <c r="C77" s="80"/>
      <c r="D77" s="80"/>
      <c r="E77" s="80"/>
      <c r="F77" s="2"/>
      <c r="G77" s="2"/>
      <c r="H77" s="2"/>
      <c r="I77" s="2"/>
      <c r="L77" s="11"/>
      <c r="M77" s="11"/>
    </row>
    <row r="78" spans="2:13" ht="12" customHeight="1" x14ac:dyDescent="0.2">
      <c r="B78" s="129" t="s">
        <v>404</v>
      </c>
      <c r="C78" s="80"/>
      <c r="D78" s="80"/>
      <c r="E78" s="80"/>
      <c r="F78" s="2"/>
      <c r="G78" s="2"/>
      <c r="H78" s="2"/>
      <c r="I78" s="2"/>
      <c r="L78" s="11"/>
      <c r="M78" s="11"/>
    </row>
    <row r="79" spans="2:13" ht="27.95" customHeight="1" x14ac:dyDescent="0.2">
      <c r="B79" s="130" t="s">
        <v>295</v>
      </c>
      <c r="C79" s="89">
        <f>28293895642.1099</f>
        <v>28293895642.109901</v>
      </c>
      <c r="D79" s="89">
        <f>7871547311.88997</f>
        <v>7871547311.8899698</v>
      </c>
      <c r="E79" s="89">
        <f>18807026706.67</f>
        <v>18807026706.669998</v>
      </c>
      <c r="F79" s="89">
        <f>564046795.000001</f>
        <v>564046795.00000095</v>
      </c>
      <c r="G79" s="89">
        <f>3233.33</f>
        <v>3233.33</v>
      </c>
      <c r="H79" s="89">
        <f>1866050.65</f>
        <v>1866050.65</v>
      </c>
      <c r="I79" s="105">
        <f>0</f>
        <v>0</v>
      </c>
      <c r="J79" s="76">
        <f>IF($D$79=0,"",100*$D79/$D$79)</f>
        <v>100</v>
      </c>
      <c r="K79" s="76">
        <f>IF(C79=0,"",100*D79/C79)</f>
        <v>27.820655774861624</v>
      </c>
      <c r="L79" s="11"/>
    </row>
    <row r="80" spans="2:13" ht="20.100000000000001" customHeight="1" x14ac:dyDescent="0.2">
      <c r="B80" s="81" t="s">
        <v>303</v>
      </c>
      <c r="C80" s="91">
        <f>22927168635.48</f>
        <v>22927168635.48</v>
      </c>
      <c r="D80" s="91">
        <f>5687746385.53</f>
        <v>5687746385.5299997</v>
      </c>
      <c r="E80" s="91">
        <f>15494087812.81</f>
        <v>15494087812.809999</v>
      </c>
      <c r="F80" s="91">
        <f>514634550.66</f>
        <v>514634550.66000003</v>
      </c>
      <c r="G80" s="91">
        <f>3233.33</f>
        <v>3233.33</v>
      </c>
      <c r="H80" s="91">
        <f>1861563.47</f>
        <v>1861563.47</v>
      </c>
      <c r="I80" s="110">
        <f>0</f>
        <v>0</v>
      </c>
      <c r="J80" s="76">
        <f>IF($D$79=0,"",100*$D80/$D$79)</f>
        <v>72.257031053331289</v>
      </c>
      <c r="K80" s="76">
        <f>IF(C80=0,"",100*D80/C80)</f>
        <v>24.807888300381588</v>
      </c>
      <c r="L80" s="11"/>
    </row>
    <row r="81" spans="2:13" ht="20.100000000000001" customHeight="1" x14ac:dyDescent="0.2">
      <c r="B81" s="81" t="s">
        <v>304</v>
      </c>
      <c r="C81" s="91">
        <f t="shared" ref="C81:I81" si="10">C79-C80</f>
        <v>5366727006.6299019</v>
      </c>
      <c r="D81" s="91">
        <f t="shared" si="10"/>
        <v>2183800926.3599701</v>
      </c>
      <c r="E81" s="91">
        <f t="shared" si="10"/>
        <v>3312938893.8599987</v>
      </c>
      <c r="F81" s="91">
        <f t="shared" si="10"/>
        <v>49412244.340000927</v>
      </c>
      <c r="G81" s="91">
        <f t="shared" si="10"/>
        <v>0</v>
      </c>
      <c r="H81" s="91">
        <f t="shared" si="10"/>
        <v>4487.1799999999348</v>
      </c>
      <c r="I81" s="110">
        <f t="shared" si="10"/>
        <v>0</v>
      </c>
      <c r="J81" s="76">
        <f>IF($D$79=0,"",100*$D81/$D$79)</f>
        <v>27.742968946668711</v>
      </c>
      <c r="K81" s="76">
        <f>IF(C81=0,"",100*D81/C81)</f>
        <v>40.69148521365377</v>
      </c>
    </row>
    <row r="82" spans="2:13" ht="20.25" x14ac:dyDescent="0.2">
      <c r="B82" s="125" t="str">
        <f>CONCATENATE("Informacja z wykonania budżetów jednostek samorządu terytorialnego za ",$D$117," ",$C$118," roku")</f>
        <v>Informacja z wykonania budżetów jednostek samorządu terytorialnego za II Kwartały 2023 roku</v>
      </c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</row>
    <row r="83" spans="2:13" ht="18" customHeight="1" x14ac:dyDescent="0.2">
      <c r="B83" s="62" t="s">
        <v>55</v>
      </c>
      <c r="C83" s="109" t="s">
        <v>56</v>
      </c>
      <c r="D83" s="109" t="s">
        <v>1</v>
      </c>
      <c r="E83" s="149" t="s">
        <v>225</v>
      </c>
      <c r="F83" s="150"/>
      <c r="G83" s="150"/>
      <c r="H83" s="150"/>
      <c r="I83" s="151"/>
      <c r="J83" s="21" t="s">
        <v>132</v>
      </c>
      <c r="K83" s="21" t="s">
        <v>133</v>
      </c>
    </row>
    <row r="84" spans="2:13" x14ac:dyDescent="0.2">
      <c r="B84" s="62"/>
      <c r="C84" s="133" t="s">
        <v>305</v>
      </c>
      <c r="D84" s="134"/>
      <c r="E84" s="152"/>
      <c r="F84" s="153"/>
      <c r="G84" s="153"/>
      <c r="H84" s="153"/>
      <c r="I84" s="154"/>
      <c r="J84" s="138" t="s">
        <v>4</v>
      </c>
      <c r="K84" s="139"/>
    </row>
    <row r="85" spans="2:13" x14ac:dyDescent="0.2">
      <c r="B85" s="60">
        <v>1</v>
      </c>
      <c r="C85" s="109">
        <v>2</v>
      </c>
      <c r="D85" s="109">
        <v>3</v>
      </c>
      <c r="E85" s="155"/>
      <c r="F85" s="156"/>
      <c r="G85" s="156"/>
      <c r="H85" s="156"/>
      <c r="I85" s="157"/>
      <c r="J85" s="61">
        <v>4</v>
      </c>
      <c r="K85" s="61">
        <v>5</v>
      </c>
    </row>
    <row r="86" spans="2:13" ht="25.5" x14ac:dyDescent="0.2">
      <c r="B86" s="59" t="s">
        <v>231</v>
      </c>
      <c r="C86" s="69">
        <f>65271907449.45</f>
        <v>65271907449.449997</v>
      </c>
      <c r="D86" s="69">
        <f>47044475610.15</f>
        <v>47044475610.150002</v>
      </c>
      <c r="E86" s="69" t="s">
        <v>225</v>
      </c>
      <c r="F86" s="69" t="s">
        <v>225</v>
      </c>
      <c r="G86" s="69" t="s">
        <v>225</v>
      </c>
      <c r="H86" s="69" t="s">
        <v>225</v>
      </c>
      <c r="I86" s="69" t="s">
        <v>225</v>
      </c>
      <c r="J86" s="68">
        <f>IF($D$86=0,"",100*$D86/$D$86)</f>
        <v>100</v>
      </c>
      <c r="K86" s="55">
        <f t="shared" ref="K86:K101" si="11">IF(C86=0,"",100*D86/C86)</f>
        <v>72.074614406793188</v>
      </c>
    </row>
    <row r="87" spans="2:13" ht="33.75" x14ac:dyDescent="0.2">
      <c r="B87" s="116" t="s">
        <v>406</v>
      </c>
      <c r="C87" s="70">
        <f>29862923836.17</f>
        <v>29862923836.169998</v>
      </c>
      <c r="D87" s="70">
        <f>2381424640.63</f>
        <v>2381424640.6300001</v>
      </c>
      <c r="E87" s="69" t="s">
        <v>225</v>
      </c>
      <c r="F87" s="69" t="s">
        <v>225</v>
      </c>
      <c r="G87" s="69" t="s">
        <v>225</v>
      </c>
      <c r="H87" s="69" t="s">
        <v>225</v>
      </c>
      <c r="I87" s="69" t="s">
        <v>225</v>
      </c>
      <c r="J87" s="74">
        <f t="shared" ref="J87:J96" si="12">IF($D$86=0,"",100*$D87/$D$86)</f>
        <v>5.0620707527159681</v>
      </c>
      <c r="K87" s="75">
        <f t="shared" si="11"/>
        <v>7.9745193528090388</v>
      </c>
    </row>
    <row r="88" spans="2:13" ht="22.5" x14ac:dyDescent="0.2">
      <c r="B88" s="117" t="s">
        <v>340</v>
      </c>
      <c r="C88" s="93">
        <f>2619496954.27</f>
        <v>2619496954.27</v>
      </c>
      <c r="D88" s="93">
        <f>120900000</f>
        <v>120900000</v>
      </c>
      <c r="E88" s="69" t="s">
        <v>225</v>
      </c>
      <c r="F88" s="69" t="s">
        <v>225</v>
      </c>
      <c r="G88" s="69" t="s">
        <v>225</v>
      </c>
      <c r="H88" s="69" t="s">
        <v>225</v>
      </c>
      <c r="I88" s="69" t="s">
        <v>225</v>
      </c>
      <c r="J88" s="94">
        <f t="shared" si="12"/>
        <v>0.2569908547857539</v>
      </c>
      <c r="K88" s="92">
        <f t="shared" si="11"/>
        <v>4.6153899817643556</v>
      </c>
    </row>
    <row r="89" spans="2:13" x14ac:dyDescent="0.2">
      <c r="B89" s="46" t="s">
        <v>341</v>
      </c>
      <c r="C89" s="93">
        <f>400462822.22</f>
        <v>400462822.22000003</v>
      </c>
      <c r="D89" s="93">
        <f>107379256.71</f>
        <v>107379256.70999999</v>
      </c>
      <c r="E89" s="69" t="s">
        <v>225</v>
      </c>
      <c r="F89" s="69" t="s">
        <v>225</v>
      </c>
      <c r="G89" s="69" t="s">
        <v>225</v>
      </c>
      <c r="H89" s="69" t="s">
        <v>225</v>
      </c>
      <c r="I89" s="69" t="s">
        <v>225</v>
      </c>
      <c r="J89" s="94">
        <f t="shared" si="12"/>
        <v>0.22825051255716955</v>
      </c>
      <c r="K89" s="92">
        <f t="shared" si="11"/>
        <v>26.813789133966011</v>
      </c>
    </row>
    <row r="90" spans="2:13" ht="48" customHeight="1" x14ac:dyDescent="0.2">
      <c r="B90" s="46" t="s">
        <v>373</v>
      </c>
      <c r="C90" s="93">
        <f>6995947608.33</f>
        <v>6995947608.3299999</v>
      </c>
      <c r="D90" s="93">
        <f>10621716840.94</f>
        <v>10621716840.940001</v>
      </c>
      <c r="E90" s="69" t="s">
        <v>225</v>
      </c>
      <c r="F90" s="69" t="s">
        <v>225</v>
      </c>
      <c r="G90" s="69" t="s">
        <v>225</v>
      </c>
      <c r="H90" s="69" t="s">
        <v>225</v>
      </c>
      <c r="I90" s="69" t="s">
        <v>225</v>
      </c>
      <c r="J90" s="94">
        <f t="shared" si="12"/>
        <v>22.578032177381374</v>
      </c>
      <c r="K90" s="92">
        <f t="shared" si="11"/>
        <v>151.82670648209023</v>
      </c>
    </row>
    <row r="91" spans="2:13" ht="33.75" x14ac:dyDescent="0.2">
      <c r="B91" s="46" t="s">
        <v>374</v>
      </c>
      <c r="C91" s="93">
        <f>6039926544.01</f>
        <v>6039926544.0100002</v>
      </c>
      <c r="D91" s="93">
        <f>6941868433.95</f>
        <v>6941868433.9499998</v>
      </c>
      <c r="E91" s="69" t="s">
        <v>225</v>
      </c>
      <c r="F91" s="69" t="s">
        <v>225</v>
      </c>
      <c r="G91" s="69" t="s">
        <v>225</v>
      </c>
      <c r="H91" s="69" t="s">
        <v>225</v>
      </c>
      <c r="I91" s="69" t="s">
        <v>225</v>
      </c>
      <c r="J91" s="94">
        <f t="shared" si="12"/>
        <v>14.755969418122856</v>
      </c>
      <c r="K91" s="92">
        <f t="shared" si="11"/>
        <v>114.9329943562722</v>
      </c>
    </row>
    <row r="92" spans="2:13" x14ac:dyDescent="0.2">
      <c r="B92" s="46" t="s">
        <v>342</v>
      </c>
      <c r="C92" s="93">
        <f>22960000</f>
        <v>22960000</v>
      </c>
      <c r="D92" s="93">
        <f>519636.4</f>
        <v>519636.4</v>
      </c>
      <c r="E92" s="69" t="s">
        <v>225</v>
      </c>
      <c r="F92" s="69" t="s">
        <v>225</v>
      </c>
      <c r="G92" s="69" t="s">
        <v>225</v>
      </c>
      <c r="H92" s="69" t="s">
        <v>225</v>
      </c>
      <c r="I92" s="69" t="s">
        <v>225</v>
      </c>
      <c r="J92" s="94">
        <f t="shared" si="12"/>
        <v>1.104564124183556E-3</v>
      </c>
      <c r="K92" s="92">
        <f t="shared" si="11"/>
        <v>2.2632247386759583</v>
      </c>
    </row>
    <row r="93" spans="2:13" ht="33.75" x14ac:dyDescent="0.2">
      <c r="B93" s="46" t="s">
        <v>343</v>
      </c>
      <c r="C93" s="93">
        <f>18371975873.64</f>
        <v>18371975873.639999</v>
      </c>
      <c r="D93" s="93">
        <f>23189346919.45</f>
        <v>23189346919.450001</v>
      </c>
      <c r="E93" s="69" t="s">
        <v>225</v>
      </c>
      <c r="F93" s="69" t="s">
        <v>225</v>
      </c>
      <c r="G93" s="69" t="s">
        <v>225</v>
      </c>
      <c r="H93" s="69" t="s">
        <v>225</v>
      </c>
      <c r="I93" s="69" t="s">
        <v>225</v>
      </c>
      <c r="J93" s="94">
        <f t="shared" si="12"/>
        <v>49.292391122852308</v>
      </c>
      <c r="K93" s="92">
        <f t="shared" si="11"/>
        <v>126.22130074055853</v>
      </c>
    </row>
    <row r="94" spans="2:13" ht="56.25" x14ac:dyDescent="0.2">
      <c r="B94" s="46" t="s">
        <v>407</v>
      </c>
      <c r="C94" s="93">
        <f>0</f>
        <v>0</v>
      </c>
      <c r="D94" s="93">
        <f>453177081.5</f>
        <v>453177081.5</v>
      </c>
      <c r="E94" s="69"/>
      <c r="F94" s="69"/>
      <c r="G94" s="69"/>
      <c r="H94" s="69"/>
      <c r="I94" s="69"/>
      <c r="J94" s="94">
        <f>IF($D$86=0,"",100*$D94/$D$86)</f>
        <v>0.96329500036392268</v>
      </c>
      <c r="K94" s="92" t="str">
        <f>IF(C94=0,"",100*D94/C94)</f>
        <v/>
      </c>
    </row>
    <row r="95" spans="2:13" x14ac:dyDescent="0.2">
      <c r="B95" s="46" t="s">
        <v>408</v>
      </c>
      <c r="C95" s="93">
        <f>3577710765.08</f>
        <v>3577710765.0799999</v>
      </c>
      <c r="D95" s="93">
        <f>3349042800.57</f>
        <v>3349042800.5700002</v>
      </c>
      <c r="E95" s="69"/>
      <c r="F95" s="69"/>
      <c r="G95" s="69"/>
      <c r="H95" s="69"/>
      <c r="I95" s="69"/>
      <c r="J95" s="74">
        <f t="shared" si="12"/>
        <v>7.1188864518822115</v>
      </c>
      <c r="K95" s="75">
        <f>IF(C95=0,"",100*D95/C95)</f>
        <v>93.608539663354065</v>
      </c>
    </row>
    <row r="96" spans="2:13" ht="22.5" x14ac:dyDescent="0.2">
      <c r="B96" s="117" t="s">
        <v>409</v>
      </c>
      <c r="C96" s="93">
        <f>3100573639.52</f>
        <v>3100573639.52</v>
      </c>
      <c r="D96" s="93">
        <f>3095358434.67</f>
        <v>3095358434.6700001</v>
      </c>
      <c r="E96" s="69" t="s">
        <v>225</v>
      </c>
      <c r="F96" s="69" t="s">
        <v>225</v>
      </c>
      <c r="G96" s="69" t="s">
        <v>225</v>
      </c>
      <c r="H96" s="69" t="s">
        <v>225</v>
      </c>
      <c r="I96" s="69" t="s">
        <v>225</v>
      </c>
      <c r="J96" s="94">
        <f t="shared" si="12"/>
        <v>6.5796427625652312</v>
      </c>
      <c r="K96" s="92">
        <f>IF(C96=0,"",100*D96/C96)</f>
        <v>99.831798710292617</v>
      </c>
    </row>
    <row r="97" spans="2:11" ht="25.5" x14ac:dyDescent="0.2">
      <c r="B97" s="59" t="s">
        <v>232</v>
      </c>
      <c r="C97" s="37">
        <f>9856756905.81</f>
        <v>9856756905.8099995</v>
      </c>
      <c r="D97" s="37">
        <f>6458587926.92</f>
        <v>6458587926.9200001</v>
      </c>
      <c r="E97" s="69" t="s">
        <v>225</v>
      </c>
      <c r="F97" s="69" t="s">
        <v>225</v>
      </c>
      <c r="G97" s="69" t="s">
        <v>225</v>
      </c>
      <c r="H97" s="69" t="s">
        <v>225</v>
      </c>
      <c r="I97" s="69" t="s">
        <v>225</v>
      </c>
      <c r="J97" s="68">
        <f t="shared" ref="J97:J102" si="13">IF($D$97=0,"",100*$D97/$D$97)</f>
        <v>100</v>
      </c>
      <c r="K97" s="55">
        <f t="shared" si="11"/>
        <v>65.524472081816569</v>
      </c>
    </row>
    <row r="98" spans="2:11" ht="22.5" x14ac:dyDescent="0.2">
      <c r="B98" s="116" t="s">
        <v>344</v>
      </c>
      <c r="C98" s="93">
        <f>8442340208.65</f>
        <v>8442340208.6499996</v>
      </c>
      <c r="D98" s="93">
        <f>3769613125.41</f>
        <v>3769613125.4099998</v>
      </c>
      <c r="E98" s="69" t="s">
        <v>225</v>
      </c>
      <c r="F98" s="69" t="s">
        <v>225</v>
      </c>
      <c r="G98" s="69" t="s">
        <v>225</v>
      </c>
      <c r="H98" s="69" t="s">
        <v>225</v>
      </c>
      <c r="I98" s="69" t="s">
        <v>225</v>
      </c>
      <c r="J98" s="74">
        <f t="shared" si="13"/>
        <v>58.365902393275455</v>
      </c>
      <c r="K98" s="75">
        <f t="shared" si="11"/>
        <v>44.651281898680942</v>
      </c>
    </row>
    <row r="99" spans="2:11" x14ac:dyDescent="0.2">
      <c r="B99" s="117" t="s">
        <v>345</v>
      </c>
      <c r="C99" s="93">
        <f>353816733.6</f>
        <v>353816733.60000002</v>
      </c>
      <c r="D99" s="93">
        <f>135535524.8</f>
        <v>135535524.80000001</v>
      </c>
      <c r="E99" s="69" t="s">
        <v>225</v>
      </c>
      <c r="F99" s="69" t="s">
        <v>225</v>
      </c>
      <c r="G99" s="69" t="s">
        <v>225</v>
      </c>
      <c r="H99" s="69" t="s">
        <v>225</v>
      </c>
      <c r="I99" s="69" t="s">
        <v>225</v>
      </c>
      <c r="J99" s="94">
        <f t="shared" si="13"/>
        <v>2.0985318514450388</v>
      </c>
      <c r="K99" s="92">
        <f t="shared" si="11"/>
        <v>38.306702857425286</v>
      </c>
    </row>
    <row r="100" spans="2:11" x14ac:dyDescent="0.2">
      <c r="B100" s="46" t="s">
        <v>375</v>
      </c>
      <c r="C100" s="93">
        <f>416055640.17</f>
        <v>416055640.17000002</v>
      </c>
      <c r="D100" s="93">
        <f>280454850.65</f>
        <v>280454850.64999998</v>
      </c>
      <c r="E100" s="69" t="s">
        <v>225</v>
      </c>
      <c r="F100" s="69" t="s">
        <v>225</v>
      </c>
      <c r="G100" s="69" t="s">
        <v>225</v>
      </c>
      <c r="H100" s="69" t="s">
        <v>225</v>
      </c>
      <c r="I100" s="69" t="s">
        <v>225</v>
      </c>
      <c r="J100" s="94">
        <f t="shared" si="13"/>
        <v>4.3423555399940881</v>
      </c>
      <c r="K100" s="92">
        <f t="shared" si="11"/>
        <v>67.408015556622743</v>
      </c>
    </row>
    <row r="101" spans="2:11" x14ac:dyDescent="0.2">
      <c r="B101" s="118" t="s">
        <v>410</v>
      </c>
      <c r="C101" s="93">
        <f>998361056.99</f>
        <v>998361056.99000001</v>
      </c>
      <c r="D101" s="93">
        <f>2408519950.86</f>
        <v>2408519950.8600001</v>
      </c>
      <c r="E101" s="69" t="s">
        <v>225</v>
      </c>
      <c r="F101" s="69" t="s">
        <v>225</v>
      </c>
      <c r="G101" s="69" t="s">
        <v>225</v>
      </c>
      <c r="H101" s="69" t="s">
        <v>225</v>
      </c>
      <c r="I101" s="69" t="s">
        <v>225</v>
      </c>
      <c r="J101" s="74">
        <f t="shared" si="13"/>
        <v>37.291742066730457</v>
      </c>
      <c r="K101" s="75">
        <f t="shared" si="11"/>
        <v>241.24738580264201</v>
      </c>
    </row>
    <row r="102" spans="2:11" ht="22.5" x14ac:dyDescent="0.2">
      <c r="B102" s="132" t="s">
        <v>411</v>
      </c>
      <c r="C102" s="93">
        <f>74050791.89</f>
        <v>74050791.890000001</v>
      </c>
      <c r="D102" s="93">
        <f>28122034.2</f>
        <v>28122034.199999999</v>
      </c>
      <c r="E102" s="69" t="s">
        <v>225</v>
      </c>
      <c r="F102" s="69" t="s">
        <v>225</v>
      </c>
      <c r="G102" s="69" t="s">
        <v>225</v>
      </c>
      <c r="H102" s="69" t="s">
        <v>225</v>
      </c>
      <c r="I102" s="69" t="s">
        <v>225</v>
      </c>
      <c r="J102" s="74">
        <f t="shared" si="13"/>
        <v>0.43542078420554942</v>
      </c>
      <c r="K102" s="75">
        <f>IF(C102=0,"",100*D102/C102)</f>
        <v>37.9766826015505</v>
      </c>
    </row>
    <row r="104" spans="2:11" ht="18" customHeight="1" x14ac:dyDescent="0.2">
      <c r="B104" s="62" t="s">
        <v>55</v>
      </c>
      <c r="C104" s="109" t="s">
        <v>56</v>
      </c>
      <c r="D104" s="21" t="s">
        <v>1</v>
      </c>
    </row>
    <row r="105" spans="2:11" x14ac:dyDescent="0.2">
      <c r="B105" s="62"/>
      <c r="C105" s="133" t="s">
        <v>305</v>
      </c>
      <c r="D105" s="134"/>
    </row>
    <row r="106" spans="2:11" x14ac:dyDescent="0.2">
      <c r="B106" s="60">
        <v>1</v>
      </c>
      <c r="C106" s="109">
        <v>2</v>
      </c>
      <c r="D106" s="21">
        <v>3</v>
      </c>
    </row>
    <row r="107" spans="2:11" ht="33.75" x14ac:dyDescent="0.2">
      <c r="B107" s="73" t="s">
        <v>412</v>
      </c>
      <c r="C107" s="71">
        <f>55467302255.38</f>
        <v>55467302255.379997</v>
      </c>
      <c r="D107" s="40">
        <f>0</f>
        <v>0</v>
      </c>
    </row>
    <row r="108" spans="2:11" ht="33.75" x14ac:dyDescent="0.2">
      <c r="B108" s="124" t="s">
        <v>316</v>
      </c>
      <c r="C108" s="72">
        <f>2208176378.87</f>
        <v>2208176378.8699999</v>
      </c>
      <c r="D108" s="111">
        <f>0</f>
        <v>0</v>
      </c>
    </row>
    <row r="109" spans="2:11" x14ac:dyDescent="0.2">
      <c r="B109" s="124" t="s">
        <v>319</v>
      </c>
      <c r="C109" s="72">
        <f>22605861279.48</f>
        <v>22605861279.48</v>
      </c>
      <c r="D109" s="111">
        <f>0</f>
        <v>0</v>
      </c>
    </row>
    <row r="110" spans="2:11" ht="22.5" x14ac:dyDescent="0.2">
      <c r="B110" s="124" t="s">
        <v>322</v>
      </c>
      <c r="C110" s="72">
        <f>22960000</f>
        <v>22960000</v>
      </c>
      <c r="D110" s="111">
        <f>0</f>
        <v>0</v>
      </c>
    </row>
    <row r="111" spans="2:11" ht="56.25" x14ac:dyDescent="0.2">
      <c r="B111" s="124" t="s">
        <v>376</v>
      </c>
      <c r="C111" s="72">
        <f>6286155933.6</f>
        <v>6286155933.6000004</v>
      </c>
      <c r="D111" s="111">
        <f>0</f>
        <v>0</v>
      </c>
    </row>
    <row r="112" spans="2:11" ht="78.75" x14ac:dyDescent="0.2">
      <c r="B112" s="124" t="s">
        <v>327</v>
      </c>
      <c r="C112" s="72">
        <f>15317037422.46</f>
        <v>15317037422.459999</v>
      </c>
      <c r="D112" s="111">
        <f>0</f>
        <v>0</v>
      </c>
    </row>
    <row r="113" spans="2:4" ht="146.25" x14ac:dyDescent="0.2">
      <c r="B113" s="124" t="s">
        <v>378</v>
      </c>
      <c r="C113" s="72">
        <f>5834777916.86</f>
        <v>5834777916.8599997</v>
      </c>
      <c r="D113" s="111">
        <f>0</f>
        <v>0</v>
      </c>
    </row>
    <row r="114" spans="2:4" ht="22.5" x14ac:dyDescent="0.2">
      <c r="B114" s="124" t="s">
        <v>369</v>
      </c>
      <c r="C114" s="72">
        <f>168971589.91</f>
        <v>168971589.91</v>
      </c>
      <c r="D114" s="111">
        <f>0</f>
        <v>0</v>
      </c>
    </row>
    <row r="115" spans="2:4" ht="22.5" x14ac:dyDescent="0.2">
      <c r="B115" s="124" t="s">
        <v>409</v>
      </c>
      <c r="C115" s="72">
        <f>3023361734.2</f>
        <v>3023361734.1999998</v>
      </c>
      <c r="D115" s="111">
        <f>0</f>
        <v>0</v>
      </c>
    </row>
    <row r="117" spans="2:4" x14ac:dyDescent="0.2">
      <c r="B117" s="50" t="s">
        <v>233</v>
      </c>
      <c r="C117" s="50">
        <f>2</f>
        <v>2</v>
      </c>
      <c r="D117" s="50" t="str">
        <f>IF(C117=1,"I Kwartał",IF(C117=2,"II Kwartały",IF(C117=3,"III Kwartały",IF(C117=4,"IV Kwartały",IF(C117="M1","Styczeń",IF(C117="M11","Listopad",IF(C117="M12","Grudzień","-")))))))</f>
        <v>II Kwartały</v>
      </c>
    </row>
    <row r="118" spans="2:4" x14ac:dyDescent="0.2">
      <c r="B118" s="50" t="s">
        <v>234</v>
      </c>
      <c r="C118" s="127">
        <f>2023</f>
        <v>2023</v>
      </c>
    </row>
    <row r="119" spans="2:4" x14ac:dyDescent="0.2">
      <c r="B119" s="50" t="s">
        <v>235</v>
      </c>
      <c r="C119" s="136" t="str">
        <f>"Aug 14 2023 12:00AM"</f>
        <v>Aug 14 2023 12:00AM</v>
      </c>
      <c r="D119" s="137"/>
    </row>
  </sheetData>
  <mergeCells count="20">
    <mergeCell ref="C60:C62"/>
    <mergeCell ref="G61:H61"/>
    <mergeCell ref="E83:I85"/>
    <mergeCell ref="B3:B4"/>
    <mergeCell ref="J4:L4"/>
    <mergeCell ref="B60:B63"/>
    <mergeCell ref="C4:I4"/>
    <mergeCell ref="D60:D62"/>
    <mergeCell ref="E60:E62"/>
    <mergeCell ref="C63:H63"/>
    <mergeCell ref="C84:D84"/>
    <mergeCell ref="F61:F62"/>
    <mergeCell ref="C119:D119"/>
    <mergeCell ref="C105:D105"/>
    <mergeCell ref="J84:K84"/>
    <mergeCell ref="J63:K63"/>
    <mergeCell ref="K60:K62"/>
    <mergeCell ref="I60:I62"/>
    <mergeCell ref="J60:J62"/>
    <mergeCell ref="F60:H60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55" orientation="landscape" useFirstPageNumber="1" r:id="rId1"/>
  <headerFooter alignWithMargins="0">
    <oddFooter>&amp;RStrona &amp;P z &amp;N</oddFooter>
  </headerFooter>
  <rowBreaks count="3" manualBreakCount="3">
    <brk id="21" max="16383" man="1"/>
    <brk id="57" max="16383" man="1"/>
    <brk id="8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A121"/>
  <sheetViews>
    <sheetView zoomScaleNormal="100" workbookViewId="0">
      <selection activeCell="B3" sqref="B3:B4"/>
    </sheetView>
  </sheetViews>
  <sheetFormatPr defaultRowHeight="12.75" x14ac:dyDescent="0.2"/>
  <cols>
    <col min="1" max="1" width="7.7109375" style="47" bestFit="1" customWidth="1"/>
    <col min="2" max="2" width="22.85546875" style="1" customWidth="1"/>
    <col min="3" max="6" width="13.85546875" style="1" customWidth="1"/>
    <col min="7" max="10" width="13.5703125" style="1" customWidth="1"/>
    <col min="11" max="11" width="7.42578125" style="1" customWidth="1"/>
    <col min="12" max="12" width="7.28515625" style="1" customWidth="1"/>
    <col min="13" max="13" width="8.140625" style="1" customWidth="1"/>
    <col min="14" max="16384" width="9.140625" style="1"/>
  </cols>
  <sheetData>
    <row r="1" spans="1:13" ht="54.75" customHeight="1" x14ac:dyDescent="0.2">
      <c r="B1" s="212" t="str">
        <f>CONCATENATE("Informacja z wykonania budżetów jednostek samorządu terytorialnego za ",$D$119," ",$C$120," roku")</f>
        <v>Informacja z wykonania budżetów jednostek samorządu terytorialnego za - 2023 roku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3" spans="1:13" ht="66.75" customHeight="1" x14ac:dyDescent="0.2">
      <c r="B3" s="196" t="s">
        <v>0</v>
      </c>
      <c r="C3" s="17" t="s">
        <v>184</v>
      </c>
      <c r="D3" s="17" t="s">
        <v>185</v>
      </c>
      <c r="E3" s="17" t="s">
        <v>186</v>
      </c>
      <c r="F3" s="17" t="s">
        <v>187</v>
      </c>
      <c r="G3" s="17" t="s">
        <v>188</v>
      </c>
      <c r="H3" s="17" t="s">
        <v>189</v>
      </c>
      <c r="I3" s="17" t="s">
        <v>190</v>
      </c>
      <c r="J3" s="19" t="s">
        <v>2</v>
      </c>
      <c r="K3" s="17" t="s">
        <v>67</v>
      </c>
      <c r="L3" s="17" t="s">
        <v>3</v>
      </c>
    </row>
    <row r="4" spans="1:13" x14ac:dyDescent="0.2">
      <c r="B4" s="197"/>
      <c r="C4" s="19" t="s">
        <v>203</v>
      </c>
      <c r="D4" s="19" t="s">
        <v>130</v>
      </c>
      <c r="E4" s="19" t="s">
        <v>204</v>
      </c>
      <c r="F4" s="19" t="s">
        <v>205</v>
      </c>
      <c r="G4" s="19" t="s">
        <v>207</v>
      </c>
      <c r="H4" s="19" t="s">
        <v>208</v>
      </c>
      <c r="I4" s="19" t="s">
        <v>206</v>
      </c>
      <c r="J4" s="159" t="s">
        <v>4</v>
      </c>
      <c r="K4" s="160"/>
      <c r="L4" s="161"/>
    </row>
    <row r="5" spans="1:13" x14ac:dyDescent="0.2">
      <c r="B5" s="19">
        <v>1</v>
      </c>
      <c r="C5" s="21">
        <v>2</v>
      </c>
      <c r="D5" s="21">
        <v>3</v>
      </c>
      <c r="E5" s="19">
        <v>4</v>
      </c>
      <c r="F5" s="21">
        <v>5</v>
      </c>
      <c r="G5" s="21">
        <v>6</v>
      </c>
      <c r="H5" s="19">
        <v>7</v>
      </c>
      <c r="I5" s="21">
        <v>8</v>
      </c>
      <c r="J5" s="21">
        <v>9</v>
      </c>
      <c r="K5" s="19">
        <v>10</v>
      </c>
      <c r="L5" s="21">
        <v>11</v>
      </c>
    </row>
    <row r="6" spans="1:13" ht="25.5" customHeight="1" x14ac:dyDescent="0.2">
      <c r="A6" s="47" t="s">
        <v>12</v>
      </c>
      <c r="B6" s="22" t="s">
        <v>5</v>
      </c>
      <c r="C6" s="190" t="s">
        <v>209</v>
      </c>
      <c r="D6" s="191"/>
      <c r="E6" s="191"/>
      <c r="F6" s="191"/>
      <c r="G6" s="191"/>
      <c r="H6" s="191"/>
      <c r="I6" s="192"/>
      <c r="J6" s="43">
        <v>100</v>
      </c>
      <c r="K6" s="43" t="s">
        <v>106</v>
      </c>
      <c r="L6" s="43"/>
    </row>
    <row r="7" spans="1:13" ht="25.5" customHeight="1" x14ac:dyDescent="0.2">
      <c r="A7" s="47" t="s">
        <v>13</v>
      </c>
      <c r="B7" s="23" t="s">
        <v>226</v>
      </c>
      <c r="C7" s="208" t="s">
        <v>363</v>
      </c>
      <c r="D7" s="209"/>
      <c r="E7" s="209"/>
      <c r="F7" s="209"/>
      <c r="G7" s="209"/>
      <c r="H7" s="209"/>
      <c r="I7" s="210"/>
      <c r="J7" s="44" t="s">
        <v>77</v>
      </c>
      <c r="K7" s="44" t="s">
        <v>106</v>
      </c>
      <c r="L7" s="44">
        <v>100</v>
      </c>
    </row>
    <row r="8" spans="1:13" ht="22.5" customHeight="1" x14ac:dyDescent="0.2">
      <c r="A8" s="47" t="s">
        <v>14</v>
      </c>
      <c r="B8" s="24" t="s">
        <v>182</v>
      </c>
      <c r="C8" s="181" t="s">
        <v>248</v>
      </c>
      <c r="D8" s="182"/>
      <c r="E8" s="182"/>
      <c r="F8" s="182"/>
      <c r="G8" s="182"/>
      <c r="H8" s="182"/>
      <c r="I8" s="183"/>
      <c r="J8" s="33" t="s">
        <v>78</v>
      </c>
      <c r="K8" s="33" t="s">
        <v>106</v>
      </c>
      <c r="L8" s="33" t="s">
        <v>107</v>
      </c>
    </row>
    <row r="9" spans="1:13" ht="22.5" customHeight="1" x14ac:dyDescent="0.2">
      <c r="A9" s="47" t="s">
        <v>15</v>
      </c>
      <c r="B9" s="25" t="s">
        <v>70</v>
      </c>
      <c r="C9" s="99" t="s">
        <v>249</v>
      </c>
      <c r="D9" s="100"/>
      <c r="E9" s="100"/>
      <c r="F9" s="100"/>
      <c r="G9" s="100"/>
      <c r="H9" s="100"/>
      <c r="I9" s="100"/>
      <c r="J9" s="32" t="s">
        <v>79</v>
      </c>
      <c r="K9" s="32" t="s">
        <v>106</v>
      </c>
      <c r="L9" s="32" t="s">
        <v>108</v>
      </c>
    </row>
    <row r="10" spans="1:13" ht="13.5" customHeight="1" x14ac:dyDescent="0.2">
      <c r="A10" s="47" t="s">
        <v>16</v>
      </c>
      <c r="B10" s="24" t="s">
        <v>71</v>
      </c>
      <c r="C10" s="97" t="s">
        <v>250</v>
      </c>
      <c r="D10" s="98"/>
      <c r="E10" s="98"/>
      <c r="F10" s="98"/>
      <c r="G10" s="98"/>
      <c r="H10" s="98"/>
      <c r="I10" s="98"/>
      <c r="J10" s="33" t="s">
        <v>80</v>
      </c>
      <c r="K10" s="33" t="s">
        <v>106</v>
      </c>
      <c r="L10" s="33" t="s">
        <v>109</v>
      </c>
    </row>
    <row r="11" spans="1:13" ht="13.5" customHeight="1" x14ac:dyDescent="0.2">
      <c r="A11" s="47" t="s">
        <v>17</v>
      </c>
      <c r="B11" s="25" t="s">
        <v>72</v>
      </c>
      <c r="C11" s="99" t="s">
        <v>251</v>
      </c>
      <c r="D11" s="100"/>
      <c r="E11" s="100"/>
      <c r="F11" s="100"/>
      <c r="G11" s="100"/>
      <c r="H11" s="100"/>
      <c r="I11" s="100"/>
      <c r="J11" s="32" t="s">
        <v>81</v>
      </c>
      <c r="K11" s="32" t="s">
        <v>106</v>
      </c>
      <c r="L11" s="32" t="s">
        <v>110</v>
      </c>
    </row>
    <row r="12" spans="1:13" ht="13.5" customHeight="1" x14ac:dyDescent="0.2">
      <c r="A12" s="47" t="s">
        <v>18</v>
      </c>
      <c r="B12" s="24" t="s">
        <v>73</v>
      </c>
      <c r="C12" s="97" t="s">
        <v>252</v>
      </c>
      <c r="D12" s="98"/>
      <c r="E12" s="98"/>
      <c r="F12" s="98"/>
      <c r="G12" s="98"/>
      <c r="H12" s="98"/>
      <c r="I12" s="98"/>
      <c r="J12" s="33" t="s">
        <v>82</v>
      </c>
      <c r="K12" s="33" t="s">
        <v>106</v>
      </c>
      <c r="L12" s="33" t="s">
        <v>111</v>
      </c>
    </row>
    <row r="13" spans="1:13" ht="22.5" customHeight="1" x14ac:dyDescent="0.2">
      <c r="A13" s="47" t="s">
        <v>19</v>
      </c>
      <c r="B13" s="25" t="s">
        <v>74</v>
      </c>
      <c r="C13" s="99" t="s">
        <v>253</v>
      </c>
      <c r="D13" s="100"/>
      <c r="E13" s="100"/>
      <c r="F13" s="100"/>
      <c r="G13" s="100"/>
      <c r="H13" s="100"/>
      <c r="I13" s="100"/>
      <c r="J13" s="32" t="s">
        <v>83</v>
      </c>
      <c r="K13" s="32" t="s">
        <v>106</v>
      </c>
      <c r="L13" s="32" t="s">
        <v>112</v>
      </c>
    </row>
    <row r="14" spans="1:13" ht="33" customHeight="1" x14ac:dyDescent="0.2">
      <c r="A14" s="47" t="s">
        <v>20</v>
      </c>
      <c r="B14" s="24" t="s">
        <v>192</v>
      </c>
      <c r="C14" s="97" t="s">
        <v>254</v>
      </c>
      <c r="D14" s="98"/>
      <c r="E14" s="98"/>
      <c r="F14" s="98"/>
      <c r="G14" s="98"/>
      <c r="H14" s="98"/>
      <c r="I14" s="98"/>
      <c r="J14" s="33" t="s">
        <v>84</v>
      </c>
      <c r="K14" s="33" t="s">
        <v>106</v>
      </c>
      <c r="L14" s="33" t="s">
        <v>113</v>
      </c>
    </row>
    <row r="15" spans="1:13" ht="22.5" customHeight="1" x14ac:dyDescent="0.2">
      <c r="A15" s="47" t="s">
        <v>21</v>
      </c>
      <c r="B15" s="25" t="s">
        <v>151</v>
      </c>
      <c r="C15" s="99" t="s">
        <v>255</v>
      </c>
      <c r="D15" s="100"/>
      <c r="E15" s="100"/>
      <c r="F15" s="100"/>
      <c r="G15" s="100"/>
      <c r="H15" s="100"/>
      <c r="I15" s="100"/>
      <c r="J15" s="32" t="s">
        <v>85</v>
      </c>
      <c r="K15" s="32" t="s">
        <v>106</v>
      </c>
      <c r="L15" s="32" t="s">
        <v>114</v>
      </c>
    </row>
    <row r="16" spans="1:13" ht="22.5" customHeight="1" x14ac:dyDescent="0.2">
      <c r="A16" s="47" t="s">
        <v>22</v>
      </c>
      <c r="B16" s="24" t="s">
        <v>152</v>
      </c>
      <c r="C16" s="97" t="s">
        <v>256</v>
      </c>
      <c r="D16" s="98"/>
      <c r="E16" s="98"/>
      <c r="F16" s="98"/>
      <c r="G16" s="98"/>
      <c r="H16" s="98"/>
      <c r="I16" s="98"/>
      <c r="J16" s="33" t="s">
        <v>86</v>
      </c>
      <c r="K16" s="33" t="s">
        <v>106</v>
      </c>
      <c r="L16" s="33" t="s">
        <v>115</v>
      </c>
    </row>
    <row r="17" spans="1:12" ht="13.5" customHeight="1" x14ac:dyDescent="0.2">
      <c r="A17" s="47" t="s">
        <v>23</v>
      </c>
      <c r="B17" s="25" t="s">
        <v>153</v>
      </c>
      <c r="C17" s="99" t="s">
        <v>257</v>
      </c>
      <c r="D17" s="100"/>
      <c r="E17" s="100"/>
      <c r="F17" s="100"/>
      <c r="G17" s="100"/>
      <c r="H17" s="100"/>
      <c r="I17" s="100"/>
      <c r="J17" s="32" t="s">
        <v>87</v>
      </c>
      <c r="K17" s="32" t="s">
        <v>106</v>
      </c>
      <c r="L17" s="32" t="s">
        <v>116</v>
      </c>
    </row>
    <row r="18" spans="1:12" ht="22.5" customHeight="1" x14ac:dyDescent="0.2">
      <c r="A18" s="47" t="s">
        <v>24</v>
      </c>
      <c r="B18" s="24" t="s">
        <v>154</v>
      </c>
      <c r="C18" s="97" t="s">
        <v>258</v>
      </c>
      <c r="D18" s="98"/>
      <c r="E18" s="98"/>
      <c r="F18" s="98"/>
      <c r="G18" s="98"/>
      <c r="H18" s="98"/>
      <c r="I18" s="98"/>
      <c r="J18" s="33" t="s">
        <v>88</v>
      </c>
      <c r="K18" s="33" t="s">
        <v>106</v>
      </c>
      <c r="L18" s="33" t="s">
        <v>117</v>
      </c>
    </row>
    <row r="19" spans="1:12" ht="13.5" customHeight="1" x14ac:dyDescent="0.2">
      <c r="A19" s="47" t="s">
        <v>25</v>
      </c>
      <c r="B19" s="25" t="s">
        <v>155</v>
      </c>
      <c r="C19" s="99" t="s">
        <v>259</v>
      </c>
      <c r="D19" s="100"/>
      <c r="E19" s="100"/>
      <c r="F19" s="100"/>
      <c r="G19" s="100"/>
      <c r="H19" s="100"/>
      <c r="I19" s="100"/>
      <c r="J19" s="32" t="s">
        <v>89</v>
      </c>
      <c r="K19" s="32" t="s">
        <v>106</v>
      </c>
      <c r="L19" s="32" t="s">
        <v>118</v>
      </c>
    </row>
    <row r="20" spans="1:12" ht="13.5" customHeight="1" x14ac:dyDescent="0.2">
      <c r="A20" s="47" t="s">
        <v>26</v>
      </c>
      <c r="B20" s="24" t="s">
        <v>75</v>
      </c>
      <c r="C20" s="97" t="s">
        <v>338</v>
      </c>
      <c r="D20" s="98"/>
      <c r="E20" s="98"/>
      <c r="F20" s="98"/>
      <c r="G20" s="98"/>
      <c r="H20" s="98"/>
      <c r="I20" s="98"/>
      <c r="J20" s="33" t="s">
        <v>90</v>
      </c>
      <c r="K20" s="33" t="s">
        <v>106</v>
      </c>
      <c r="L20" s="33" t="s">
        <v>119</v>
      </c>
    </row>
    <row r="21" spans="1:12" ht="13.5" customHeight="1" x14ac:dyDescent="0.2">
      <c r="A21" s="47" t="s">
        <v>27</v>
      </c>
      <c r="B21" s="25" t="s">
        <v>76</v>
      </c>
      <c r="C21" s="99" t="s">
        <v>159</v>
      </c>
      <c r="D21" s="100"/>
      <c r="E21" s="100"/>
      <c r="F21" s="100"/>
      <c r="G21" s="100"/>
      <c r="H21" s="100"/>
      <c r="I21" s="100"/>
      <c r="J21" s="32" t="s">
        <v>91</v>
      </c>
      <c r="K21" s="32" t="s">
        <v>106</v>
      </c>
      <c r="L21" s="32" t="s">
        <v>158</v>
      </c>
    </row>
    <row r="22" spans="1:12" ht="27.75" customHeight="1" x14ac:dyDescent="0.2">
      <c r="A22" s="47" t="s">
        <v>28</v>
      </c>
      <c r="B22" s="22" t="s">
        <v>282</v>
      </c>
      <c r="C22" s="190" t="s">
        <v>361</v>
      </c>
      <c r="D22" s="191"/>
      <c r="E22" s="192"/>
      <c r="F22" s="56"/>
      <c r="G22" s="56"/>
      <c r="H22" s="56"/>
      <c r="I22" s="56"/>
      <c r="J22" s="43" t="s">
        <v>92</v>
      </c>
      <c r="K22" s="43" t="s">
        <v>106</v>
      </c>
      <c r="L22" s="57"/>
    </row>
    <row r="23" spans="1:12" ht="25.5" customHeight="1" x14ac:dyDescent="0.2">
      <c r="A23" s="47" t="s">
        <v>29</v>
      </c>
      <c r="B23" s="22" t="s">
        <v>227</v>
      </c>
      <c r="C23" s="190" t="s">
        <v>405</v>
      </c>
      <c r="D23" s="191"/>
      <c r="E23" s="192"/>
      <c r="F23" s="27"/>
      <c r="G23" s="28"/>
      <c r="H23" s="28"/>
      <c r="I23" s="28"/>
      <c r="J23" s="103" t="s">
        <v>93</v>
      </c>
      <c r="K23" s="43" t="s">
        <v>106</v>
      </c>
      <c r="L23" s="29"/>
    </row>
    <row r="24" spans="1:12" ht="38.25" customHeight="1" x14ac:dyDescent="0.2">
      <c r="A24" s="47" t="s">
        <v>30</v>
      </c>
      <c r="B24" s="25" t="s">
        <v>9</v>
      </c>
      <c r="C24" s="198" t="s">
        <v>381</v>
      </c>
      <c r="D24" s="199"/>
      <c r="E24" s="200"/>
      <c r="F24" s="27"/>
      <c r="G24" s="28"/>
      <c r="H24" s="28"/>
      <c r="I24" s="28"/>
      <c r="J24" s="86" t="s">
        <v>94</v>
      </c>
      <c r="K24" s="32" t="s">
        <v>106</v>
      </c>
      <c r="L24" s="29"/>
    </row>
    <row r="25" spans="1:12" ht="13.5" customHeight="1" x14ac:dyDescent="0.2">
      <c r="A25" s="47" t="s">
        <v>31</v>
      </c>
      <c r="B25" s="45" t="s">
        <v>6</v>
      </c>
      <c r="C25" s="181" t="s">
        <v>382</v>
      </c>
      <c r="D25" s="182"/>
      <c r="E25" s="183"/>
      <c r="F25" s="27"/>
      <c r="G25" s="28"/>
      <c r="H25" s="28"/>
      <c r="I25" s="28"/>
      <c r="J25" s="32" t="s">
        <v>95</v>
      </c>
      <c r="K25" s="33" t="s">
        <v>106</v>
      </c>
      <c r="L25" s="29"/>
    </row>
    <row r="26" spans="1:12" ht="13.5" customHeight="1" x14ac:dyDescent="0.2">
      <c r="A26" s="47" t="s">
        <v>32</v>
      </c>
      <c r="B26" s="25" t="s">
        <v>7</v>
      </c>
      <c r="C26" s="184" t="s">
        <v>383</v>
      </c>
      <c r="D26" s="185"/>
      <c r="E26" s="186"/>
      <c r="F26" s="27"/>
      <c r="G26" s="28"/>
      <c r="H26" s="28"/>
      <c r="I26" s="28"/>
      <c r="J26" s="33" t="s">
        <v>96</v>
      </c>
      <c r="K26" s="32" t="s">
        <v>106</v>
      </c>
      <c r="L26" s="29"/>
    </row>
    <row r="27" spans="1:12" ht="13.5" customHeight="1" x14ac:dyDescent="0.2">
      <c r="A27" s="47" t="s">
        <v>33</v>
      </c>
      <c r="B27" s="45" t="s">
        <v>6</v>
      </c>
      <c r="C27" s="181" t="s">
        <v>384</v>
      </c>
      <c r="D27" s="182"/>
      <c r="E27" s="183"/>
      <c r="F27" s="27"/>
      <c r="G27" s="28"/>
      <c r="H27" s="28"/>
      <c r="I27" s="28"/>
      <c r="J27" s="32" t="s">
        <v>97</v>
      </c>
      <c r="K27" s="33" t="s">
        <v>106</v>
      </c>
      <c r="L27" s="29"/>
    </row>
    <row r="28" spans="1:12" ht="33" customHeight="1" x14ac:dyDescent="0.2">
      <c r="A28" s="47" t="s">
        <v>34</v>
      </c>
      <c r="B28" s="25" t="s">
        <v>10</v>
      </c>
      <c r="C28" s="184" t="s">
        <v>260</v>
      </c>
      <c r="D28" s="185"/>
      <c r="E28" s="186"/>
      <c r="F28" s="27"/>
      <c r="G28" s="28"/>
      <c r="H28" s="28"/>
      <c r="I28" s="28"/>
      <c r="J28" s="86" t="s">
        <v>98</v>
      </c>
      <c r="K28" s="32" t="s">
        <v>106</v>
      </c>
      <c r="L28" s="29"/>
    </row>
    <row r="29" spans="1:12" ht="13.5" customHeight="1" x14ac:dyDescent="0.2">
      <c r="A29" s="47" t="s">
        <v>35</v>
      </c>
      <c r="B29" s="45" t="s">
        <v>6</v>
      </c>
      <c r="C29" s="181" t="s">
        <v>261</v>
      </c>
      <c r="D29" s="182"/>
      <c r="E29" s="183"/>
      <c r="F29" s="27"/>
      <c r="G29" s="28"/>
      <c r="H29" s="28"/>
      <c r="I29" s="28"/>
      <c r="J29" s="32" t="s">
        <v>99</v>
      </c>
      <c r="K29" s="33" t="s">
        <v>106</v>
      </c>
      <c r="L29" s="29"/>
    </row>
    <row r="30" spans="1:12" ht="33" customHeight="1" x14ac:dyDescent="0.2">
      <c r="A30" s="47" t="s">
        <v>36</v>
      </c>
      <c r="B30" s="25" t="s">
        <v>11</v>
      </c>
      <c r="C30" s="184" t="s">
        <v>262</v>
      </c>
      <c r="D30" s="185"/>
      <c r="E30" s="186"/>
      <c r="F30" s="27"/>
      <c r="G30" s="28"/>
      <c r="H30" s="28"/>
      <c r="I30" s="28"/>
      <c r="J30" s="32" t="s">
        <v>100</v>
      </c>
      <c r="K30" s="33" t="s">
        <v>106</v>
      </c>
      <c r="L30" s="29"/>
    </row>
    <row r="31" spans="1:12" ht="13.5" customHeight="1" x14ac:dyDescent="0.2">
      <c r="A31" s="47" t="s">
        <v>37</v>
      </c>
      <c r="B31" s="45" t="s">
        <v>6</v>
      </c>
      <c r="C31" s="181" t="s">
        <v>263</v>
      </c>
      <c r="D31" s="182"/>
      <c r="E31" s="183"/>
      <c r="F31" s="27"/>
      <c r="G31" s="28"/>
      <c r="H31" s="28"/>
      <c r="I31" s="28"/>
      <c r="J31" s="32" t="s">
        <v>101</v>
      </c>
      <c r="K31" s="33" t="s">
        <v>106</v>
      </c>
      <c r="L31" s="29"/>
    </row>
    <row r="32" spans="1:12" ht="45" x14ac:dyDescent="0.2">
      <c r="A32" s="47" t="s">
        <v>38</v>
      </c>
      <c r="B32" s="25" t="s">
        <v>311</v>
      </c>
      <c r="C32" s="184" t="s">
        <v>346</v>
      </c>
      <c r="D32" s="185"/>
      <c r="E32" s="186"/>
      <c r="F32" s="27"/>
      <c r="G32" s="28"/>
      <c r="H32" s="28"/>
      <c r="I32" s="28"/>
      <c r="J32" s="32" t="s">
        <v>102</v>
      </c>
      <c r="K32" s="33" t="s">
        <v>106</v>
      </c>
      <c r="L32" s="29"/>
    </row>
    <row r="33" spans="1:12" x14ac:dyDescent="0.2">
      <c r="A33" s="47" t="s">
        <v>39</v>
      </c>
      <c r="B33" s="45" t="s">
        <v>6</v>
      </c>
      <c r="C33" s="181" t="s">
        <v>306</v>
      </c>
      <c r="D33" s="182"/>
      <c r="E33" s="183"/>
      <c r="F33" s="27"/>
      <c r="G33" s="28"/>
      <c r="H33" s="28"/>
      <c r="I33" s="28"/>
      <c r="J33" s="32" t="s">
        <v>103</v>
      </c>
      <c r="K33" s="32" t="s">
        <v>106</v>
      </c>
      <c r="L33" s="29"/>
    </row>
    <row r="34" spans="1:12" ht="22.5" customHeight="1" x14ac:dyDescent="0.2">
      <c r="A34" s="47" t="s">
        <v>68</v>
      </c>
      <c r="B34" s="25" t="s">
        <v>8</v>
      </c>
      <c r="C34" s="184" t="s">
        <v>264</v>
      </c>
      <c r="D34" s="185"/>
      <c r="E34" s="186"/>
      <c r="F34" s="27"/>
      <c r="G34" s="28"/>
      <c r="H34" s="28"/>
      <c r="I34" s="28"/>
      <c r="J34" s="33" t="s">
        <v>104</v>
      </c>
      <c r="K34" s="33" t="s">
        <v>106</v>
      </c>
      <c r="L34" s="29"/>
    </row>
    <row r="35" spans="1:12" ht="13.5" customHeight="1" x14ac:dyDescent="0.2">
      <c r="A35" s="47" t="s">
        <v>69</v>
      </c>
      <c r="B35" s="45" t="s">
        <v>6</v>
      </c>
      <c r="C35" s="181" t="s">
        <v>265</v>
      </c>
      <c r="D35" s="182"/>
      <c r="E35" s="183"/>
      <c r="F35" s="27"/>
      <c r="G35" s="28"/>
      <c r="H35" s="28"/>
      <c r="I35" s="28"/>
      <c r="J35" s="33" t="s">
        <v>105</v>
      </c>
      <c r="K35" s="33" t="s">
        <v>106</v>
      </c>
      <c r="L35" s="29"/>
    </row>
    <row r="36" spans="1:12" ht="78.75" x14ac:dyDescent="0.2">
      <c r="A36" s="47" t="s">
        <v>156</v>
      </c>
      <c r="B36" s="25" t="s">
        <v>370</v>
      </c>
      <c r="C36" s="181" t="s">
        <v>356</v>
      </c>
      <c r="D36" s="182"/>
      <c r="E36" s="183"/>
      <c r="F36" s="27"/>
      <c r="G36" s="28"/>
      <c r="H36" s="28"/>
      <c r="I36" s="28"/>
      <c r="J36" s="33" t="s">
        <v>157</v>
      </c>
      <c r="K36" s="33" t="s">
        <v>106</v>
      </c>
      <c r="L36" s="29"/>
    </row>
    <row r="37" spans="1:12" ht="13.5" customHeight="1" x14ac:dyDescent="0.2">
      <c r="A37" s="47" t="s">
        <v>161</v>
      </c>
      <c r="B37" s="45" t="s">
        <v>357</v>
      </c>
      <c r="C37" s="181" t="s">
        <v>358</v>
      </c>
      <c r="D37" s="182"/>
      <c r="E37" s="183"/>
      <c r="F37" s="27"/>
      <c r="G37" s="28"/>
      <c r="H37" s="28"/>
      <c r="I37" s="28"/>
      <c r="J37" s="33" t="s">
        <v>163</v>
      </c>
      <c r="K37" s="33" t="s">
        <v>106</v>
      </c>
      <c r="L37" s="29"/>
    </row>
    <row r="38" spans="1:12" ht="56.25" x14ac:dyDescent="0.2">
      <c r="A38" s="47" t="s">
        <v>162</v>
      </c>
      <c r="B38" s="96" t="s">
        <v>353</v>
      </c>
      <c r="C38" s="201" t="s">
        <v>385</v>
      </c>
      <c r="D38" s="202"/>
      <c r="E38" s="203"/>
      <c r="F38" s="27"/>
      <c r="G38" s="28"/>
      <c r="H38" s="28"/>
      <c r="I38" s="28"/>
      <c r="J38" s="33" t="s">
        <v>164</v>
      </c>
      <c r="K38" s="33" t="s">
        <v>106</v>
      </c>
      <c r="L38" s="29"/>
    </row>
    <row r="39" spans="1:12" ht="13.5" customHeight="1" x14ac:dyDescent="0.2">
      <c r="A39" s="47" t="s">
        <v>223</v>
      </c>
      <c r="B39" s="45" t="s">
        <v>6</v>
      </c>
      <c r="C39" s="181" t="s">
        <v>386</v>
      </c>
      <c r="D39" s="182"/>
      <c r="E39" s="183"/>
      <c r="F39" s="27"/>
      <c r="G39" s="28"/>
      <c r="H39" s="28"/>
      <c r="I39" s="28"/>
      <c r="J39" s="33" t="s">
        <v>224</v>
      </c>
      <c r="K39" s="33" t="s">
        <v>106</v>
      </c>
      <c r="L39" s="29"/>
    </row>
    <row r="40" spans="1:12" ht="33.75" x14ac:dyDescent="0.2">
      <c r="A40" s="128" t="s">
        <v>390</v>
      </c>
      <c r="B40" s="96" t="s">
        <v>387</v>
      </c>
      <c r="C40" s="193" t="s">
        <v>388</v>
      </c>
      <c r="D40" s="194"/>
      <c r="E40" s="195"/>
      <c r="F40" s="27"/>
      <c r="G40" s="28"/>
      <c r="H40" s="28"/>
      <c r="I40" s="28"/>
      <c r="J40" s="33" t="s">
        <v>392</v>
      </c>
      <c r="K40" s="33" t="s">
        <v>106</v>
      </c>
      <c r="L40" s="29"/>
    </row>
    <row r="41" spans="1:12" ht="13.5" customHeight="1" x14ac:dyDescent="0.2">
      <c r="A41" s="128" t="s">
        <v>391</v>
      </c>
      <c r="B41" s="45" t="s">
        <v>6</v>
      </c>
      <c r="C41" s="193" t="s">
        <v>389</v>
      </c>
      <c r="D41" s="194"/>
      <c r="E41" s="195"/>
      <c r="F41" s="27"/>
      <c r="G41" s="28"/>
      <c r="H41" s="28"/>
      <c r="I41" s="28"/>
      <c r="J41" s="33" t="s">
        <v>393</v>
      </c>
      <c r="K41" s="33" t="s">
        <v>106</v>
      </c>
      <c r="L41" s="29"/>
    </row>
    <row r="42" spans="1:12" ht="13.5" customHeight="1" x14ac:dyDescent="0.2">
      <c r="A42" s="47" t="s">
        <v>278</v>
      </c>
      <c r="B42" s="22" t="s">
        <v>286</v>
      </c>
      <c r="C42" s="184" t="s">
        <v>277</v>
      </c>
      <c r="D42" s="185"/>
      <c r="E42" s="186"/>
      <c r="F42" s="27"/>
      <c r="G42" s="28"/>
      <c r="H42" s="28"/>
      <c r="I42" s="28"/>
      <c r="J42" s="33" t="s">
        <v>280</v>
      </c>
      <c r="K42" s="33" t="s">
        <v>106</v>
      </c>
      <c r="L42" s="29"/>
    </row>
    <row r="43" spans="1:12" ht="13.5" customHeight="1" x14ac:dyDescent="0.2">
      <c r="A43" s="47" t="s">
        <v>279</v>
      </c>
      <c r="B43" s="45" t="s">
        <v>287</v>
      </c>
      <c r="C43" s="181" t="s">
        <v>276</v>
      </c>
      <c r="D43" s="182"/>
      <c r="E43" s="183"/>
      <c r="F43" s="27"/>
      <c r="G43" s="28"/>
      <c r="H43" s="28"/>
      <c r="I43" s="28"/>
      <c r="J43" s="33" t="s">
        <v>281</v>
      </c>
      <c r="K43" s="33" t="s">
        <v>106</v>
      </c>
      <c r="L43" s="29"/>
    </row>
    <row r="44" spans="1:12" ht="13.5" customHeight="1" x14ac:dyDescent="0.2">
      <c r="A44" s="47" t="s">
        <v>283</v>
      </c>
      <c r="B44" s="22" t="s">
        <v>329</v>
      </c>
      <c r="C44" s="184" t="s">
        <v>331</v>
      </c>
      <c r="D44" s="185"/>
      <c r="E44" s="186"/>
      <c r="F44" s="27"/>
      <c r="G44" s="28"/>
      <c r="H44" s="28"/>
      <c r="I44" s="28"/>
      <c r="J44" s="33" t="s">
        <v>284</v>
      </c>
      <c r="K44" s="33" t="s">
        <v>106</v>
      </c>
      <c r="L44" s="29"/>
    </row>
    <row r="45" spans="1:12" ht="13.5" customHeight="1" x14ac:dyDescent="0.2">
      <c r="A45" s="47" t="s">
        <v>307</v>
      </c>
      <c r="B45" s="45" t="s">
        <v>330</v>
      </c>
      <c r="C45" s="181" t="s">
        <v>332</v>
      </c>
      <c r="D45" s="182"/>
      <c r="E45" s="183"/>
      <c r="F45" s="27"/>
      <c r="G45" s="28"/>
      <c r="H45" s="28"/>
      <c r="I45" s="28"/>
      <c r="J45" s="33" t="s">
        <v>309</v>
      </c>
      <c r="K45" s="33" t="s">
        <v>106</v>
      </c>
      <c r="L45" s="29"/>
    </row>
    <row r="46" spans="1:12" s="6" customFormat="1" ht="25.5" customHeight="1" x14ac:dyDescent="0.2">
      <c r="A46" s="47" t="s">
        <v>308</v>
      </c>
      <c r="B46" s="23" t="s">
        <v>228</v>
      </c>
      <c r="C46" s="208" t="s">
        <v>362</v>
      </c>
      <c r="D46" s="209"/>
      <c r="E46" s="210"/>
      <c r="F46" s="27"/>
      <c r="G46" s="28"/>
      <c r="H46" s="28"/>
      <c r="I46" s="28"/>
      <c r="J46" s="44" t="s">
        <v>310</v>
      </c>
      <c r="K46" s="44" t="s">
        <v>106</v>
      </c>
      <c r="L46" s="30"/>
    </row>
    <row r="47" spans="1:12" ht="24.75" customHeight="1" x14ac:dyDescent="0.2">
      <c r="A47" s="47" t="s">
        <v>333</v>
      </c>
      <c r="B47" s="24" t="s">
        <v>196</v>
      </c>
      <c r="C47" s="174" t="s">
        <v>266</v>
      </c>
      <c r="D47" s="175"/>
      <c r="E47" s="176"/>
      <c r="F47" s="27"/>
      <c r="G47" s="28"/>
      <c r="H47" s="28"/>
      <c r="I47" s="28"/>
      <c r="J47" s="32" t="s">
        <v>335</v>
      </c>
      <c r="K47" s="33" t="s">
        <v>106</v>
      </c>
      <c r="L47" s="29"/>
    </row>
    <row r="48" spans="1:12" ht="24.75" customHeight="1" x14ac:dyDescent="0.2">
      <c r="A48" s="47" t="s">
        <v>334</v>
      </c>
      <c r="B48" s="24" t="s">
        <v>195</v>
      </c>
      <c r="C48" s="174" t="s">
        <v>267</v>
      </c>
      <c r="D48" s="175"/>
      <c r="E48" s="176"/>
      <c r="F48" s="27"/>
      <c r="G48" s="28"/>
      <c r="H48" s="28"/>
      <c r="I48" s="28"/>
      <c r="J48" s="32" t="s">
        <v>336</v>
      </c>
      <c r="K48" s="33" t="s">
        <v>106</v>
      </c>
      <c r="L48" s="29"/>
    </row>
    <row r="49" spans="1:27" ht="24.75" customHeight="1" x14ac:dyDescent="0.2">
      <c r="A49" s="47" t="s">
        <v>351</v>
      </c>
      <c r="B49" s="24" t="s">
        <v>194</v>
      </c>
      <c r="C49" s="174" t="s">
        <v>268</v>
      </c>
      <c r="D49" s="175"/>
      <c r="E49" s="176"/>
      <c r="F49" s="27"/>
      <c r="G49" s="28"/>
      <c r="H49" s="28"/>
      <c r="I49" s="28"/>
      <c r="J49" s="32" t="s">
        <v>354</v>
      </c>
      <c r="K49" s="33" t="s">
        <v>106</v>
      </c>
      <c r="L49" s="29"/>
    </row>
    <row r="50" spans="1:27" ht="24.75" customHeight="1" x14ac:dyDescent="0.2">
      <c r="A50" s="47" t="s">
        <v>352</v>
      </c>
      <c r="B50" s="24" t="s">
        <v>193</v>
      </c>
      <c r="C50" s="174" t="s">
        <v>269</v>
      </c>
      <c r="D50" s="175"/>
      <c r="E50" s="176"/>
      <c r="F50" s="27"/>
      <c r="G50" s="28"/>
      <c r="H50" s="28"/>
      <c r="I50" s="28"/>
      <c r="J50" s="32" t="s">
        <v>355</v>
      </c>
      <c r="K50" s="33" t="s">
        <v>106</v>
      </c>
      <c r="L50" s="29"/>
    </row>
    <row r="51" spans="1:27" ht="24.75" customHeight="1" x14ac:dyDescent="0.2">
      <c r="A51" s="47" t="s">
        <v>359</v>
      </c>
      <c r="B51" s="24" t="s">
        <v>222</v>
      </c>
      <c r="C51" s="174" t="s">
        <v>270</v>
      </c>
      <c r="D51" s="175"/>
      <c r="E51" s="176"/>
      <c r="F51" s="27"/>
      <c r="G51" s="28"/>
      <c r="H51" s="28"/>
      <c r="I51" s="28"/>
      <c r="J51" s="32" t="s">
        <v>371</v>
      </c>
      <c r="K51" s="33" t="s">
        <v>106</v>
      </c>
      <c r="L51" s="29"/>
    </row>
    <row r="52" spans="1:27" ht="24.75" customHeight="1" x14ac:dyDescent="0.2">
      <c r="A52" s="47" t="s">
        <v>360</v>
      </c>
      <c r="B52" s="24" t="s">
        <v>191</v>
      </c>
      <c r="C52" s="174" t="s">
        <v>394</v>
      </c>
      <c r="D52" s="175"/>
      <c r="E52" s="176"/>
      <c r="F52" s="27"/>
      <c r="G52" s="28"/>
      <c r="H52" s="28"/>
      <c r="I52" s="28"/>
      <c r="J52" s="32" t="s">
        <v>372</v>
      </c>
      <c r="K52" s="33" t="s">
        <v>106</v>
      </c>
      <c r="L52" s="29"/>
    </row>
    <row r="53" spans="1:27" s="6" customFormat="1" ht="13.5" customHeight="1" x14ac:dyDescent="0.2">
      <c r="A53" s="49"/>
      <c r="B53" s="26"/>
      <c r="C53" s="8"/>
      <c r="D53" s="9"/>
      <c r="E53" s="9"/>
      <c r="F53" s="18"/>
      <c r="G53" s="18"/>
      <c r="H53" s="18"/>
      <c r="I53" s="18"/>
      <c r="J53" s="18"/>
      <c r="K53" s="10"/>
      <c r="L53" s="10"/>
      <c r="M53" s="4"/>
    </row>
    <row r="54" spans="1:27" s="6" customFormat="1" ht="13.5" customHeight="1" x14ac:dyDescent="0.2">
      <c r="A54" s="48" t="s">
        <v>12</v>
      </c>
      <c r="B54" s="58" t="s">
        <v>5</v>
      </c>
      <c r="C54" s="101" t="s">
        <v>209</v>
      </c>
      <c r="D54" s="102"/>
      <c r="E54" s="102"/>
      <c r="F54" s="102"/>
      <c r="G54" s="102"/>
      <c r="H54" s="102"/>
      <c r="I54" s="102"/>
      <c r="J54" s="43">
        <v>100</v>
      </c>
      <c r="K54" s="43" t="s">
        <v>106</v>
      </c>
      <c r="L54" s="43">
        <v>100</v>
      </c>
    </row>
    <row r="55" spans="1:27" s="6" customFormat="1" ht="41.25" customHeight="1" x14ac:dyDescent="0.2">
      <c r="A55" s="48" t="s">
        <v>296</v>
      </c>
      <c r="B55" s="58" t="s">
        <v>297</v>
      </c>
      <c r="C55" s="187" t="s">
        <v>395</v>
      </c>
      <c r="D55" s="188"/>
      <c r="E55" s="188"/>
      <c r="F55" s="188"/>
      <c r="G55" s="188"/>
      <c r="H55" s="188"/>
      <c r="I55" s="189"/>
      <c r="J55" s="43">
        <v>100</v>
      </c>
      <c r="K55" s="43" t="s">
        <v>106</v>
      </c>
      <c r="L55" s="43" t="s">
        <v>298</v>
      </c>
    </row>
    <row r="56" spans="1:27" s="6" customFormat="1" ht="13.5" customHeight="1" x14ac:dyDescent="0.2">
      <c r="A56" s="48" t="s">
        <v>299</v>
      </c>
      <c r="B56" s="58" t="s">
        <v>300</v>
      </c>
      <c r="C56" s="101" t="s">
        <v>301</v>
      </c>
      <c r="D56" s="102"/>
      <c r="E56" s="102"/>
      <c r="F56" s="102"/>
      <c r="G56" s="102"/>
      <c r="H56" s="102"/>
      <c r="I56" s="102"/>
      <c r="J56" s="43">
        <v>100</v>
      </c>
      <c r="K56" s="43" t="s">
        <v>106</v>
      </c>
      <c r="L56" s="43" t="s">
        <v>302</v>
      </c>
    </row>
    <row r="57" spans="1:27" s="6" customFormat="1" ht="13.5" customHeight="1" x14ac:dyDescent="0.2">
      <c r="A57" s="49"/>
      <c r="B57" s="227" t="s">
        <v>403</v>
      </c>
      <c r="C57" s="227"/>
      <c r="D57" s="227"/>
      <c r="E57" s="227"/>
      <c r="F57" s="227"/>
      <c r="G57" s="18"/>
      <c r="H57" s="18"/>
      <c r="I57" s="18"/>
      <c r="J57" s="10"/>
      <c r="K57" s="10"/>
      <c r="L57" s="4"/>
    </row>
    <row r="58" spans="1:27" s="6" customFormat="1" ht="13.5" customHeight="1" x14ac:dyDescent="0.2">
      <c r="A58" s="49"/>
      <c r="G58" s="18"/>
      <c r="H58" s="18"/>
      <c r="I58" s="18"/>
      <c r="J58" s="18"/>
      <c r="K58" s="10"/>
      <c r="L58" s="10"/>
      <c r="M58" s="4"/>
    </row>
    <row r="59" spans="1:27" s="6" customFormat="1" ht="13.5" customHeight="1" x14ac:dyDescent="0.2">
      <c r="A59" s="49"/>
      <c r="B59" s="26"/>
      <c r="C59" s="8"/>
      <c r="D59" s="9"/>
      <c r="E59" s="9"/>
      <c r="F59" s="18"/>
      <c r="G59" s="18"/>
      <c r="H59" s="18"/>
      <c r="I59" s="18"/>
      <c r="J59" s="18"/>
      <c r="K59" s="10"/>
      <c r="L59" s="10"/>
      <c r="M59" s="4"/>
    </row>
    <row r="60" spans="1:27" s="6" customFormat="1" ht="13.5" customHeight="1" x14ac:dyDescent="0.2">
      <c r="A60" s="49"/>
      <c r="B60" s="26"/>
      <c r="C60" s="8"/>
      <c r="D60" s="9"/>
      <c r="E60" s="9"/>
      <c r="F60" s="18"/>
      <c r="G60" s="18"/>
      <c r="H60" s="18"/>
      <c r="I60" s="18"/>
      <c r="J60" s="18"/>
      <c r="K60" s="10"/>
      <c r="L60" s="10"/>
      <c r="M60" s="4"/>
    </row>
    <row r="61" spans="1:27" ht="46.5" customHeight="1" x14ac:dyDescent="0.2">
      <c r="B61" s="212" t="str">
        <f>CONCATENATE("Informacja z wykonania budżetów jednostek samorządu terytorialnego za ",$D$119," ",$C$120," roku")</f>
        <v>Informacja z wykonania budżetów jednostek samorządu terytorialnego za - 2023 roku</v>
      </c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</row>
    <row r="62" spans="1:27" s="6" customFormat="1" ht="13.5" customHeight="1" x14ac:dyDescent="0.2">
      <c r="A62" s="48"/>
      <c r="B62" s="7"/>
      <c r="C62" s="8"/>
      <c r="D62" s="9"/>
      <c r="E62" s="9"/>
      <c r="F62" s="5"/>
      <c r="G62" s="5"/>
      <c r="H62" s="5"/>
      <c r="I62" s="5"/>
      <c r="J62" s="5"/>
      <c r="K62" s="10"/>
      <c r="L62" s="10"/>
      <c r="M62" s="4"/>
    </row>
    <row r="63" spans="1:27" ht="29.25" customHeight="1" x14ac:dyDescent="0.2">
      <c r="B63" s="158" t="s">
        <v>0</v>
      </c>
      <c r="C63" s="147" t="s">
        <v>218</v>
      </c>
      <c r="D63" s="147" t="s">
        <v>220</v>
      </c>
      <c r="E63" s="147" t="s">
        <v>219</v>
      </c>
      <c r="F63" s="147" t="s">
        <v>40</v>
      </c>
      <c r="G63" s="147"/>
      <c r="H63" s="147"/>
      <c r="I63" s="147" t="s">
        <v>337</v>
      </c>
      <c r="J63" s="147"/>
      <c r="K63" s="147" t="s">
        <v>2</v>
      </c>
      <c r="L63" s="207" t="s">
        <v>183</v>
      </c>
      <c r="N63" s="11"/>
      <c r="O63" s="28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8" customHeight="1" x14ac:dyDescent="0.2">
      <c r="B64" s="158"/>
      <c r="C64" s="147"/>
      <c r="D64" s="147"/>
      <c r="E64" s="135"/>
      <c r="F64" s="133" t="s">
        <v>221</v>
      </c>
      <c r="G64" s="148" t="s">
        <v>181</v>
      </c>
      <c r="H64" s="135"/>
      <c r="I64" s="147"/>
      <c r="J64" s="147"/>
      <c r="K64" s="147"/>
      <c r="L64" s="207"/>
      <c r="M64" s="12"/>
      <c r="N64" s="13"/>
      <c r="O64" s="28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36" customHeight="1" x14ac:dyDescent="0.2">
      <c r="B65" s="158"/>
      <c r="C65" s="147"/>
      <c r="D65" s="147"/>
      <c r="E65" s="135"/>
      <c r="F65" s="135"/>
      <c r="G65" s="20" t="s">
        <v>200</v>
      </c>
      <c r="H65" s="20" t="s">
        <v>201</v>
      </c>
      <c r="I65" s="147"/>
      <c r="J65" s="147"/>
      <c r="K65" s="147"/>
      <c r="L65" s="207"/>
      <c r="M65" s="12"/>
      <c r="N65" s="11"/>
      <c r="O65" s="28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3.5" customHeight="1" x14ac:dyDescent="0.2">
      <c r="B66" s="158"/>
      <c r="C66" s="19" t="s">
        <v>203</v>
      </c>
      <c r="D66" s="19" t="s">
        <v>211</v>
      </c>
      <c r="E66" s="19" t="s">
        <v>210</v>
      </c>
      <c r="F66" s="19" t="s">
        <v>212</v>
      </c>
      <c r="G66" s="19" t="s">
        <v>213</v>
      </c>
      <c r="H66" s="19" t="s">
        <v>214</v>
      </c>
      <c r="I66" s="159" t="s">
        <v>215</v>
      </c>
      <c r="J66" s="161"/>
      <c r="K66" s="140" t="s">
        <v>4</v>
      </c>
      <c r="L66" s="140"/>
      <c r="O66" s="104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1.25" customHeight="1" x14ac:dyDescent="0.2">
      <c r="B67" s="19">
        <v>1</v>
      </c>
      <c r="C67" s="21">
        <v>2</v>
      </c>
      <c r="D67" s="21">
        <v>3</v>
      </c>
      <c r="E67" s="21">
        <v>4</v>
      </c>
      <c r="F67" s="19">
        <v>5</v>
      </c>
      <c r="G67" s="19">
        <v>6</v>
      </c>
      <c r="H67" s="21">
        <v>7</v>
      </c>
      <c r="I67" s="135">
        <v>8</v>
      </c>
      <c r="J67" s="135"/>
      <c r="K67" s="19">
        <v>9</v>
      </c>
      <c r="L67" s="21">
        <v>10</v>
      </c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25.5" customHeight="1" x14ac:dyDescent="0.2">
      <c r="A68" s="47" t="s">
        <v>43</v>
      </c>
      <c r="B68" s="22" t="s">
        <v>229</v>
      </c>
      <c r="C68" s="177" t="s">
        <v>202</v>
      </c>
      <c r="D68" s="177"/>
      <c r="E68" s="177"/>
      <c r="F68" s="177"/>
      <c r="G68" s="177"/>
      <c r="H68" s="177"/>
      <c r="I68" s="177"/>
      <c r="J68" s="177"/>
      <c r="K68" s="36">
        <v>100</v>
      </c>
      <c r="L68" s="36" t="s">
        <v>106</v>
      </c>
    </row>
    <row r="69" spans="1:27" ht="40.5" customHeight="1" x14ac:dyDescent="0.2">
      <c r="A69" s="47" t="s">
        <v>44</v>
      </c>
      <c r="B69" s="23" t="s">
        <v>42</v>
      </c>
      <c r="C69" s="180" t="s">
        <v>396</v>
      </c>
      <c r="D69" s="180"/>
      <c r="E69" s="180"/>
      <c r="F69" s="180"/>
      <c r="G69" s="180"/>
      <c r="H69" s="180"/>
      <c r="I69" s="180"/>
      <c r="J69" s="180"/>
      <c r="K69" s="37" t="s">
        <v>120</v>
      </c>
      <c r="L69" s="37" t="s">
        <v>106</v>
      </c>
    </row>
    <row r="70" spans="1:27" ht="27" customHeight="1" x14ac:dyDescent="0.2">
      <c r="A70" s="47" t="s">
        <v>45</v>
      </c>
      <c r="B70" s="24" t="s">
        <v>41</v>
      </c>
      <c r="C70" s="178" t="s">
        <v>397</v>
      </c>
      <c r="D70" s="178"/>
      <c r="E70" s="178"/>
      <c r="F70" s="178"/>
      <c r="G70" s="178"/>
      <c r="H70" s="178"/>
      <c r="I70" s="178"/>
      <c r="J70" s="178"/>
      <c r="K70" s="38" t="s">
        <v>121</v>
      </c>
      <c r="L70" s="38" t="s">
        <v>106</v>
      </c>
    </row>
    <row r="71" spans="1:27" ht="25.5" customHeight="1" x14ac:dyDescent="0.2">
      <c r="A71" s="47" t="s">
        <v>46</v>
      </c>
      <c r="B71" s="23" t="s">
        <v>230</v>
      </c>
      <c r="C71" s="180" t="s">
        <v>131</v>
      </c>
      <c r="D71" s="180"/>
      <c r="E71" s="180"/>
      <c r="F71" s="180"/>
      <c r="G71" s="180"/>
      <c r="H71" s="180"/>
      <c r="I71" s="180"/>
      <c r="J71" s="180"/>
      <c r="K71" s="37" t="s">
        <v>122</v>
      </c>
      <c r="L71" s="37" t="s">
        <v>106</v>
      </c>
    </row>
    <row r="72" spans="1:27" ht="25.5" customHeight="1" x14ac:dyDescent="0.2">
      <c r="A72" s="47" t="s">
        <v>47</v>
      </c>
      <c r="B72" s="24" t="s">
        <v>377</v>
      </c>
      <c r="C72" s="179" t="s">
        <v>398</v>
      </c>
      <c r="D72" s="179"/>
      <c r="E72" s="179"/>
      <c r="F72" s="179"/>
      <c r="G72" s="179"/>
      <c r="H72" s="179"/>
      <c r="I72" s="179"/>
      <c r="J72" s="179"/>
      <c r="K72" s="38" t="s">
        <v>123</v>
      </c>
      <c r="L72" s="38" t="s">
        <v>106</v>
      </c>
    </row>
    <row r="73" spans="1:27" ht="36.75" customHeight="1" x14ac:dyDescent="0.2">
      <c r="A73" s="47" t="s">
        <v>48</v>
      </c>
      <c r="B73" s="25" t="s">
        <v>199</v>
      </c>
      <c r="C73" s="171" t="s">
        <v>399</v>
      </c>
      <c r="D73" s="172"/>
      <c r="E73" s="172"/>
      <c r="F73" s="172"/>
      <c r="G73" s="172"/>
      <c r="H73" s="172"/>
      <c r="I73" s="172"/>
      <c r="J73" s="173"/>
      <c r="K73" s="40" t="s">
        <v>124</v>
      </c>
      <c r="L73" s="40" t="s">
        <v>106</v>
      </c>
      <c r="N73" s="95"/>
    </row>
    <row r="74" spans="1:27" ht="13.5" customHeight="1" x14ac:dyDescent="0.2">
      <c r="A74" s="47" t="s">
        <v>49</v>
      </c>
      <c r="B74" s="24" t="s">
        <v>198</v>
      </c>
      <c r="C74" s="179" t="s">
        <v>349</v>
      </c>
      <c r="D74" s="179"/>
      <c r="E74" s="179"/>
      <c r="F74" s="179"/>
      <c r="G74" s="179"/>
      <c r="H74" s="179"/>
      <c r="I74" s="179"/>
      <c r="J74" s="179"/>
      <c r="K74" s="38" t="s">
        <v>125</v>
      </c>
      <c r="L74" s="38" t="s">
        <v>106</v>
      </c>
    </row>
    <row r="75" spans="1:27" ht="22.5" customHeight="1" x14ac:dyDescent="0.2">
      <c r="A75" s="47" t="s">
        <v>50</v>
      </c>
      <c r="B75" s="25" t="s">
        <v>271</v>
      </c>
      <c r="C75" s="167" t="s">
        <v>347</v>
      </c>
      <c r="D75" s="167"/>
      <c r="E75" s="167"/>
      <c r="F75" s="167"/>
      <c r="G75" s="167"/>
      <c r="H75" s="167"/>
      <c r="I75" s="167"/>
      <c r="J75" s="167"/>
      <c r="K75" s="40" t="s">
        <v>126</v>
      </c>
      <c r="L75" s="40" t="s">
        <v>106</v>
      </c>
    </row>
    <row r="76" spans="1:27" ht="22.5" customHeight="1" x14ac:dyDescent="0.2">
      <c r="A76" s="47" t="s">
        <v>51</v>
      </c>
      <c r="B76" s="25" t="s">
        <v>285</v>
      </c>
      <c r="C76" s="168" t="s">
        <v>400</v>
      </c>
      <c r="D76" s="169"/>
      <c r="E76" s="169"/>
      <c r="F76" s="169"/>
      <c r="G76" s="169"/>
      <c r="H76" s="169"/>
      <c r="I76" s="169"/>
      <c r="J76" s="170"/>
      <c r="K76" s="40" t="s">
        <v>127</v>
      </c>
      <c r="L76" s="40" t="s">
        <v>106</v>
      </c>
    </row>
    <row r="77" spans="1:27" ht="13.5" customHeight="1" x14ac:dyDescent="0.2">
      <c r="A77" s="47" t="s">
        <v>52</v>
      </c>
      <c r="B77" s="24" t="s">
        <v>197</v>
      </c>
      <c r="C77" s="179" t="s">
        <v>348</v>
      </c>
      <c r="D77" s="179"/>
      <c r="E77" s="179"/>
      <c r="F77" s="179"/>
      <c r="G77" s="179"/>
      <c r="H77" s="179"/>
      <c r="I77" s="179"/>
      <c r="J77" s="179"/>
      <c r="K77" s="38" t="s">
        <v>128</v>
      </c>
      <c r="L77" s="38" t="s">
        <v>106</v>
      </c>
    </row>
    <row r="78" spans="1:27" ht="24" customHeight="1" x14ac:dyDescent="0.2">
      <c r="A78" s="47" t="s">
        <v>53</v>
      </c>
      <c r="B78" s="23" t="s">
        <v>54</v>
      </c>
      <c r="C78" s="180" t="s">
        <v>129</v>
      </c>
      <c r="D78" s="180"/>
      <c r="E78" s="180"/>
      <c r="F78" s="180"/>
      <c r="G78" s="180"/>
      <c r="H78" s="180"/>
      <c r="I78" s="180"/>
      <c r="J78" s="180"/>
      <c r="K78" s="41"/>
      <c r="L78" s="41"/>
      <c r="M78" s="14"/>
    </row>
    <row r="79" spans="1:27" ht="12" customHeight="1" x14ac:dyDescent="0.2">
      <c r="B79" s="15"/>
      <c r="C79" s="16"/>
      <c r="D79" s="16"/>
      <c r="E79" s="16"/>
      <c r="F79" s="2"/>
      <c r="G79" s="2"/>
      <c r="H79" s="2"/>
      <c r="I79" s="2"/>
      <c r="L79" s="11"/>
      <c r="M79" s="11"/>
    </row>
    <row r="80" spans="1:27" ht="12" customHeight="1" x14ac:dyDescent="0.2">
      <c r="B80" s="129" t="s">
        <v>401</v>
      </c>
      <c r="C80" s="16"/>
      <c r="D80" s="16"/>
      <c r="E80" s="16"/>
      <c r="F80" s="2"/>
      <c r="G80" s="2"/>
      <c r="H80" s="2"/>
      <c r="I80" s="2"/>
      <c r="L80" s="11"/>
      <c r="M80" s="11"/>
    </row>
    <row r="81" spans="1:13" ht="12" customHeight="1" x14ac:dyDescent="0.2">
      <c r="A81" s="47" t="s">
        <v>289</v>
      </c>
      <c r="B81" s="22" t="s">
        <v>229</v>
      </c>
      <c r="C81" s="177" t="s">
        <v>350</v>
      </c>
      <c r="D81" s="177"/>
      <c r="E81" s="177"/>
      <c r="F81" s="177"/>
      <c r="G81" s="177"/>
      <c r="H81" s="177"/>
      <c r="I81" s="177"/>
      <c r="J81" s="177"/>
      <c r="K81" s="35">
        <v>100</v>
      </c>
      <c r="L81" s="35" t="s">
        <v>106</v>
      </c>
      <c r="M81" s="11"/>
    </row>
    <row r="82" spans="1:13" ht="36" customHeight="1" x14ac:dyDescent="0.2">
      <c r="A82" s="47" t="s">
        <v>290</v>
      </c>
      <c r="B82" s="23" t="s">
        <v>42</v>
      </c>
      <c r="C82" s="214" t="s">
        <v>402</v>
      </c>
      <c r="D82" s="214"/>
      <c r="E82" s="214"/>
      <c r="F82" s="214"/>
      <c r="G82" s="214"/>
      <c r="H82" s="214"/>
      <c r="I82" s="214"/>
      <c r="J82" s="214"/>
      <c r="K82" s="37" t="s">
        <v>293</v>
      </c>
      <c r="L82" s="37" t="s">
        <v>106</v>
      </c>
      <c r="M82" s="11"/>
    </row>
    <row r="83" spans="1:13" ht="25.5" x14ac:dyDescent="0.2">
      <c r="A83" s="47" t="s">
        <v>291</v>
      </c>
      <c r="B83" s="23" t="s">
        <v>288</v>
      </c>
      <c r="C83" s="180" t="s">
        <v>292</v>
      </c>
      <c r="D83" s="180"/>
      <c r="E83" s="180"/>
      <c r="F83" s="180"/>
      <c r="G83" s="180"/>
      <c r="H83" s="180"/>
      <c r="I83" s="180"/>
      <c r="J83" s="180"/>
      <c r="K83" s="37" t="s">
        <v>294</v>
      </c>
      <c r="L83" s="37" t="s">
        <v>106</v>
      </c>
    </row>
    <row r="84" spans="1:13" ht="75" customHeight="1" x14ac:dyDescent="0.2">
      <c r="B84" s="212" t="str">
        <f>CONCATENATE("Informacja z wykonania budżetów jednostek samorządu terytorialnego za ",$D$119," ",$C$120," roku")</f>
        <v>Informacja z wykonania budżetów jednostek samorządu terytorialnego za - 2023 roku</v>
      </c>
      <c r="C84" s="212"/>
      <c r="D84" s="212"/>
      <c r="E84" s="212"/>
      <c r="F84" s="212"/>
      <c r="G84" s="212"/>
      <c r="H84" s="212"/>
      <c r="I84" s="212"/>
      <c r="J84" s="212"/>
      <c r="K84" s="212"/>
      <c r="L84" s="212"/>
      <c r="M84" s="212"/>
    </row>
    <row r="85" spans="1:13" x14ac:dyDescent="0.2">
      <c r="A85"/>
      <c r="B85" s="228" t="s">
        <v>55</v>
      </c>
      <c r="C85" s="228"/>
      <c r="D85" s="135" t="s">
        <v>56</v>
      </c>
      <c r="E85" s="135"/>
      <c r="F85" s="135" t="s">
        <v>1</v>
      </c>
      <c r="G85" s="135"/>
      <c r="H85" s="21" t="s">
        <v>132</v>
      </c>
      <c r="I85" s="21" t="s">
        <v>133</v>
      </c>
    </row>
    <row r="86" spans="1:13" x14ac:dyDescent="0.2">
      <c r="A86"/>
      <c r="B86" s="228"/>
      <c r="C86" s="228"/>
      <c r="D86" s="147" t="s">
        <v>216</v>
      </c>
      <c r="E86" s="147"/>
      <c r="F86" s="147" t="s">
        <v>217</v>
      </c>
      <c r="G86" s="147"/>
      <c r="H86" s="215" t="s">
        <v>4</v>
      </c>
      <c r="I86" s="215"/>
    </row>
    <row r="87" spans="1:13" x14ac:dyDescent="0.2">
      <c r="A87"/>
      <c r="B87" s="213">
        <v>1</v>
      </c>
      <c r="C87" s="147"/>
      <c r="D87" s="211">
        <v>2</v>
      </c>
      <c r="E87" s="211"/>
      <c r="F87" s="211">
        <v>3</v>
      </c>
      <c r="G87" s="211"/>
      <c r="H87" s="61">
        <v>4</v>
      </c>
      <c r="I87" s="61">
        <v>5</v>
      </c>
    </row>
    <row r="88" spans="1:13" x14ac:dyDescent="0.2">
      <c r="A88" s="47" t="s">
        <v>57</v>
      </c>
      <c r="B88" s="219" t="s">
        <v>231</v>
      </c>
      <c r="C88" s="220"/>
      <c r="D88" s="216" t="s">
        <v>236</v>
      </c>
      <c r="E88" s="217"/>
      <c r="F88" s="217"/>
      <c r="G88" s="218"/>
      <c r="H88" s="63">
        <v>100</v>
      </c>
      <c r="I88" s="66" t="s">
        <v>134</v>
      </c>
    </row>
    <row r="89" spans="1:13" ht="26.25" customHeight="1" x14ac:dyDescent="0.2">
      <c r="A89" s="47" t="s">
        <v>58</v>
      </c>
      <c r="B89" s="162" t="s">
        <v>339</v>
      </c>
      <c r="C89" s="162"/>
      <c r="D89" s="204" t="s">
        <v>237</v>
      </c>
      <c r="E89" s="205"/>
      <c r="F89" s="205"/>
      <c r="G89" s="206"/>
      <c r="H89" s="64" t="s">
        <v>135</v>
      </c>
      <c r="I89" s="64" t="s">
        <v>136</v>
      </c>
    </row>
    <row r="90" spans="1:13" x14ac:dyDescent="0.2">
      <c r="A90" s="47" t="s">
        <v>165</v>
      </c>
      <c r="B90" s="166" t="s">
        <v>340</v>
      </c>
      <c r="C90" s="166"/>
      <c r="D90" s="163" t="s">
        <v>238</v>
      </c>
      <c r="E90" s="164"/>
      <c r="F90" s="164"/>
      <c r="G90" s="165"/>
      <c r="H90" s="65" t="s">
        <v>167</v>
      </c>
      <c r="I90" s="65" t="s">
        <v>168</v>
      </c>
    </row>
    <row r="91" spans="1:13" x14ac:dyDescent="0.2">
      <c r="A91" s="47" t="s">
        <v>59</v>
      </c>
      <c r="B91" s="162" t="s">
        <v>341</v>
      </c>
      <c r="C91" s="162" t="s">
        <v>169</v>
      </c>
      <c r="D91" s="163" t="s">
        <v>239</v>
      </c>
      <c r="E91" s="164"/>
      <c r="F91" s="164"/>
      <c r="G91" s="165"/>
      <c r="H91" s="65" t="s">
        <v>137</v>
      </c>
      <c r="I91" s="65" t="s">
        <v>138</v>
      </c>
    </row>
    <row r="92" spans="1:13" ht="48" customHeight="1" x14ac:dyDescent="0.2">
      <c r="A92" s="47" t="s">
        <v>60</v>
      </c>
      <c r="B92" s="162" t="s">
        <v>373</v>
      </c>
      <c r="C92" s="162" t="s">
        <v>170</v>
      </c>
      <c r="D92" s="163" t="s">
        <v>240</v>
      </c>
      <c r="E92" s="164"/>
      <c r="F92" s="164"/>
      <c r="G92" s="165"/>
      <c r="H92" s="65" t="s">
        <v>139</v>
      </c>
      <c r="I92" s="65" t="s">
        <v>140</v>
      </c>
    </row>
    <row r="93" spans="1:13" ht="34.5" customHeight="1" x14ac:dyDescent="0.2">
      <c r="A93" s="47" t="s">
        <v>61</v>
      </c>
      <c r="B93" s="162" t="s">
        <v>374</v>
      </c>
      <c r="C93" s="162" t="s">
        <v>170</v>
      </c>
      <c r="D93" s="163" t="s">
        <v>241</v>
      </c>
      <c r="E93" s="164"/>
      <c r="F93" s="164"/>
      <c r="G93" s="165"/>
      <c r="H93" s="65" t="s">
        <v>141</v>
      </c>
      <c r="I93" s="65" t="s">
        <v>142</v>
      </c>
    </row>
    <row r="94" spans="1:13" x14ac:dyDescent="0.2">
      <c r="A94" s="47" t="s">
        <v>62</v>
      </c>
      <c r="B94" s="162" t="s">
        <v>342</v>
      </c>
      <c r="C94" s="162" t="s">
        <v>171</v>
      </c>
      <c r="D94" s="163" t="s">
        <v>242</v>
      </c>
      <c r="E94" s="164"/>
      <c r="F94" s="164"/>
      <c r="G94" s="165"/>
      <c r="H94" s="65" t="s">
        <v>143</v>
      </c>
      <c r="I94" s="65" t="s">
        <v>144</v>
      </c>
    </row>
    <row r="95" spans="1:13" ht="24" customHeight="1" x14ac:dyDescent="0.2">
      <c r="A95" s="47" t="s">
        <v>63</v>
      </c>
      <c r="B95" s="162" t="s">
        <v>343</v>
      </c>
      <c r="C95" s="162" t="s">
        <v>172</v>
      </c>
      <c r="D95" s="163" t="s">
        <v>243</v>
      </c>
      <c r="E95" s="164"/>
      <c r="F95" s="164"/>
      <c r="G95" s="165"/>
      <c r="H95" s="65" t="s">
        <v>145</v>
      </c>
      <c r="I95" s="65" t="s">
        <v>146</v>
      </c>
    </row>
    <row r="96" spans="1:13" ht="49.5" customHeight="1" x14ac:dyDescent="0.2">
      <c r="A96" s="47" t="s">
        <v>416</v>
      </c>
      <c r="B96" s="162" t="s">
        <v>407</v>
      </c>
      <c r="C96" s="162"/>
      <c r="D96" s="163" t="s">
        <v>415</v>
      </c>
      <c r="E96" s="164"/>
      <c r="F96" s="164"/>
      <c r="G96" s="165"/>
      <c r="H96" s="65" t="s">
        <v>421</v>
      </c>
      <c r="I96" s="65" t="s">
        <v>422</v>
      </c>
    </row>
    <row r="97" spans="1:9" ht="24" customHeight="1" x14ac:dyDescent="0.2">
      <c r="A97" s="47" t="s">
        <v>417</v>
      </c>
      <c r="B97" s="162" t="s">
        <v>408</v>
      </c>
      <c r="C97" s="162" t="s">
        <v>173</v>
      </c>
      <c r="D97" s="163" t="s">
        <v>419</v>
      </c>
      <c r="E97" s="164"/>
      <c r="F97" s="164"/>
      <c r="G97" s="165"/>
      <c r="H97" s="65" t="s">
        <v>423</v>
      </c>
      <c r="I97" s="65" t="s">
        <v>424</v>
      </c>
    </row>
    <row r="98" spans="1:9" ht="18" customHeight="1" x14ac:dyDescent="0.2">
      <c r="A98" s="47" t="s">
        <v>418</v>
      </c>
      <c r="B98" s="166" t="s">
        <v>409</v>
      </c>
      <c r="C98" s="166" t="s">
        <v>173</v>
      </c>
      <c r="D98" s="163" t="s">
        <v>420</v>
      </c>
      <c r="E98" s="164"/>
      <c r="F98" s="164"/>
      <c r="G98" s="165"/>
      <c r="H98" s="65" t="s">
        <v>425</v>
      </c>
      <c r="I98" s="65" t="s">
        <v>426</v>
      </c>
    </row>
    <row r="99" spans="1:9" ht="26.25" customHeight="1" x14ac:dyDescent="0.2">
      <c r="A99" s="47" t="s">
        <v>64</v>
      </c>
      <c r="B99" s="219" t="s">
        <v>232</v>
      </c>
      <c r="C99" s="220" t="s">
        <v>174</v>
      </c>
      <c r="D99" s="229" t="s">
        <v>244</v>
      </c>
      <c r="E99" s="230"/>
      <c r="F99" s="230"/>
      <c r="G99" s="231"/>
      <c r="H99" s="66">
        <v>100</v>
      </c>
      <c r="I99" s="66" t="s">
        <v>160</v>
      </c>
    </row>
    <row r="100" spans="1:9" ht="25.5" customHeight="1" x14ac:dyDescent="0.2">
      <c r="A100" s="47" t="s">
        <v>65</v>
      </c>
      <c r="B100" s="162" t="s">
        <v>344</v>
      </c>
      <c r="C100" s="162" t="s">
        <v>175</v>
      </c>
      <c r="D100" s="163" t="s">
        <v>245</v>
      </c>
      <c r="E100" s="164"/>
      <c r="F100" s="164"/>
      <c r="G100" s="165"/>
      <c r="H100" s="65" t="s">
        <v>147</v>
      </c>
      <c r="I100" s="65" t="s">
        <v>148</v>
      </c>
    </row>
    <row r="101" spans="1:9" x14ac:dyDescent="0.2">
      <c r="A101" s="47" t="s">
        <v>176</v>
      </c>
      <c r="B101" s="166" t="s">
        <v>345</v>
      </c>
      <c r="C101" s="166" t="s">
        <v>166</v>
      </c>
      <c r="D101" s="163" t="s">
        <v>246</v>
      </c>
      <c r="E101" s="164"/>
      <c r="F101" s="164"/>
      <c r="G101" s="165"/>
      <c r="H101" s="65" t="s">
        <v>177</v>
      </c>
      <c r="I101" s="65" t="s">
        <v>178</v>
      </c>
    </row>
    <row r="102" spans="1:9" x14ac:dyDescent="0.2">
      <c r="A102" s="47" t="s">
        <v>66</v>
      </c>
      <c r="B102" s="162" t="s">
        <v>375</v>
      </c>
      <c r="C102" s="162" t="s">
        <v>179</v>
      </c>
      <c r="D102" s="163" t="s">
        <v>247</v>
      </c>
      <c r="E102" s="164"/>
      <c r="F102" s="164"/>
      <c r="G102" s="165"/>
      <c r="H102" s="65" t="s">
        <v>149</v>
      </c>
      <c r="I102" s="65" t="s">
        <v>150</v>
      </c>
    </row>
    <row r="103" spans="1:9" x14ac:dyDescent="0.2">
      <c r="A103" s="47" t="s">
        <v>272</v>
      </c>
      <c r="B103" s="162" t="s">
        <v>410</v>
      </c>
      <c r="C103" s="162" t="s">
        <v>180</v>
      </c>
      <c r="D103" s="163" t="s">
        <v>273</v>
      </c>
      <c r="E103" s="164"/>
      <c r="F103" s="164"/>
      <c r="G103" s="165"/>
      <c r="H103" s="65" t="s">
        <v>275</v>
      </c>
      <c r="I103" s="65" t="s">
        <v>274</v>
      </c>
    </row>
    <row r="104" spans="1:9" ht="23.25" customHeight="1" x14ac:dyDescent="0.2">
      <c r="A104" s="47" t="s">
        <v>427</v>
      </c>
      <c r="B104" s="166" t="s">
        <v>411</v>
      </c>
      <c r="C104" s="166" t="s">
        <v>180</v>
      </c>
      <c r="D104" s="163" t="s">
        <v>428</v>
      </c>
      <c r="E104" s="164"/>
      <c r="F104" s="164"/>
      <c r="G104" s="165"/>
      <c r="H104" s="65" t="s">
        <v>429</v>
      </c>
      <c r="I104" s="65" t="s">
        <v>430</v>
      </c>
    </row>
    <row r="105" spans="1:9" x14ac:dyDescent="0.2">
      <c r="A105"/>
      <c r="B105"/>
      <c r="C105"/>
      <c r="D105"/>
      <c r="E105"/>
      <c r="F105"/>
      <c r="G105"/>
      <c r="H105"/>
      <c r="I105"/>
    </row>
    <row r="106" spans="1:9" x14ac:dyDescent="0.2">
      <c r="A106"/>
      <c r="B106" s="228" t="s">
        <v>55</v>
      </c>
      <c r="C106" s="228"/>
      <c r="D106" s="135" t="s">
        <v>56</v>
      </c>
      <c r="E106" s="135"/>
      <c r="F106" s="135" t="s">
        <v>1</v>
      </c>
      <c r="G106" s="135"/>
    </row>
    <row r="107" spans="1:9" x14ac:dyDescent="0.2">
      <c r="A107"/>
      <c r="B107" s="228"/>
      <c r="C107" s="228"/>
      <c r="D107" s="147" t="s">
        <v>216</v>
      </c>
      <c r="E107" s="147"/>
      <c r="F107" s="147" t="s">
        <v>217</v>
      </c>
      <c r="G107" s="147"/>
    </row>
    <row r="108" spans="1:9" x14ac:dyDescent="0.2">
      <c r="A108"/>
      <c r="B108" s="213">
        <v>1</v>
      </c>
      <c r="C108" s="147"/>
      <c r="D108" s="211">
        <v>2</v>
      </c>
      <c r="E108" s="211"/>
      <c r="F108" s="211">
        <v>3</v>
      </c>
      <c r="G108" s="211"/>
    </row>
    <row r="109" spans="1:9" x14ac:dyDescent="0.2">
      <c r="A109" s="67" t="s">
        <v>312</v>
      </c>
      <c r="B109" s="225" t="s">
        <v>313</v>
      </c>
      <c r="C109" s="226"/>
      <c r="D109" s="216" t="s">
        <v>314</v>
      </c>
      <c r="E109" s="217"/>
      <c r="F109" s="217"/>
      <c r="G109" s="218"/>
    </row>
    <row r="110" spans="1:9" ht="21.75" customHeight="1" x14ac:dyDescent="0.2">
      <c r="A110" s="67" t="s">
        <v>315</v>
      </c>
      <c r="B110" s="221" t="s">
        <v>316</v>
      </c>
      <c r="C110" s="222"/>
      <c r="D110" s="204" t="s">
        <v>317</v>
      </c>
      <c r="E110" s="205"/>
      <c r="F110" s="205"/>
      <c r="G110" s="206"/>
    </row>
    <row r="111" spans="1:9" x14ac:dyDescent="0.2">
      <c r="A111" s="67" t="s">
        <v>318</v>
      </c>
      <c r="B111" s="223" t="s">
        <v>319</v>
      </c>
      <c r="C111" s="224"/>
      <c r="D111" s="163" t="s">
        <v>320</v>
      </c>
      <c r="E111" s="164"/>
      <c r="F111" s="164"/>
      <c r="G111" s="165"/>
    </row>
    <row r="112" spans="1:9" ht="24" customHeight="1" x14ac:dyDescent="0.2">
      <c r="A112" s="67" t="s">
        <v>321</v>
      </c>
      <c r="B112" s="223" t="s">
        <v>322</v>
      </c>
      <c r="C112" s="224"/>
      <c r="D112" s="163" t="s">
        <v>323</v>
      </c>
      <c r="E112" s="164"/>
      <c r="F112" s="164"/>
      <c r="G112" s="165"/>
    </row>
    <row r="113" spans="1:7" ht="48.75" customHeight="1" x14ac:dyDescent="0.2">
      <c r="A113" s="67" t="s">
        <v>324</v>
      </c>
      <c r="B113" s="221" t="s">
        <v>376</v>
      </c>
      <c r="C113" s="222"/>
      <c r="D113" s="204" t="s">
        <v>325</v>
      </c>
      <c r="E113" s="205"/>
      <c r="F113" s="205"/>
      <c r="G113" s="206"/>
    </row>
    <row r="114" spans="1:7" ht="80.25" customHeight="1" x14ac:dyDescent="0.2">
      <c r="A114" s="67" t="s">
        <v>326</v>
      </c>
      <c r="B114" s="223" t="s">
        <v>327</v>
      </c>
      <c r="C114" s="224"/>
      <c r="D114" s="163" t="s">
        <v>328</v>
      </c>
      <c r="E114" s="164"/>
      <c r="F114" s="164"/>
      <c r="G114" s="165"/>
    </row>
    <row r="115" spans="1:7" ht="149.25" customHeight="1" x14ac:dyDescent="0.2">
      <c r="A115" s="67" t="s">
        <v>364</v>
      </c>
      <c r="B115" s="223" t="s">
        <v>368</v>
      </c>
      <c r="C115" s="224"/>
      <c r="D115" s="163" t="s">
        <v>366</v>
      </c>
      <c r="E115" s="164"/>
      <c r="F115" s="164"/>
      <c r="G115" s="165"/>
    </row>
    <row r="116" spans="1:7" x14ac:dyDescent="0.2">
      <c r="A116" s="67" t="s">
        <v>365</v>
      </c>
      <c r="B116" s="223" t="s">
        <v>369</v>
      </c>
      <c r="C116" s="224"/>
      <c r="D116" s="163" t="s">
        <v>367</v>
      </c>
      <c r="E116" s="164"/>
      <c r="F116" s="164"/>
      <c r="G116" s="165"/>
    </row>
    <row r="117" spans="1:7" x14ac:dyDescent="0.2">
      <c r="A117" s="67" t="s">
        <v>413</v>
      </c>
      <c r="B117" s="223" t="s">
        <v>409</v>
      </c>
      <c r="C117" s="224"/>
      <c r="D117" s="163" t="s">
        <v>414</v>
      </c>
      <c r="E117" s="164"/>
      <c r="F117" s="164"/>
      <c r="G117" s="165"/>
    </row>
    <row r="118" spans="1:7" x14ac:dyDescent="0.2">
      <c r="A118" s="67"/>
      <c r="B118" s="112"/>
      <c r="C118" s="112"/>
      <c r="D118" s="113"/>
      <c r="E118" s="113"/>
      <c r="F118" s="113"/>
      <c r="G118" s="113"/>
    </row>
    <row r="119" spans="1:7" x14ac:dyDescent="0.2">
      <c r="B119" s="50" t="s">
        <v>233</v>
      </c>
      <c r="C119" s="50">
        <f>2</f>
        <v>2</v>
      </c>
      <c r="D119" s="50" t="str">
        <f>IF(C119="1","I Kwartał",IF(C119="2","II Kwartały",IF(C119="3","III Kwartały",IF(C119="4","IV Kwartały","-"))))</f>
        <v>-</v>
      </c>
    </row>
    <row r="120" spans="1:7" x14ac:dyDescent="0.2">
      <c r="B120" s="50" t="s">
        <v>234</v>
      </c>
      <c r="C120" s="50">
        <f>2023</f>
        <v>2023</v>
      </c>
    </row>
    <row r="121" spans="1:7" x14ac:dyDescent="0.2">
      <c r="B121" s="50" t="s">
        <v>235</v>
      </c>
      <c r="C121" s="51" t="str">
        <f>"Aug 14 2023 12:00AM"</f>
        <v>Aug 14 2023 12:00AM</v>
      </c>
    </row>
  </sheetData>
  <mergeCells count="137">
    <mergeCell ref="B117:C117"/>
    <mergeCell ref="D117:G117"/>
    <mergeCell ref="B116:C116"/>
    <mergeCell ref="D116:G116"/>
    <mergeCell ref="C7:I7"/>
    <mergeCell ref="C8:I8"/>
    <mergeCell ref="B93:C93"/>
    <mergeCell ref="D93:G93"/>
    <mergeCell ref="C44:E44"/>
    <mergeCell ref="C45:E45"/>
    <mergeCell ref="D99:G99"/>
    <mergeCell ref="B106:C107"/>
    <mergeCell ref="B99:C99"/>
    <mergeCell ref="B115:C115"/>
    <mergeCell ref="D115:G115"/>
    <mergeCell ref="B91:C91"/>
    <mergeCell ref="D108:E108"/>
    <mergeCell ref="F108:G108"/>
    <mergeCell ref="D107:E107"/>
    <mergeCell ref="B108:C108"/>
    <mergeCell ref="B114:C114"/>
    <mergeCell ref="D114:G114"/>
    <mergeCell ref="B109:C109"/>
    <mergeCell ref="D109:G109"/>
    <mergeCell ref="B110:C110"/>
    <mergeCell ref="D110:G110"/>
    <mergeCell ref="B111:C111"/>
    <mergeCell ref="D111:G111"/>
    <mergeCell ref="B113:C113"/>
    <mergeCell ref="D113:G113"/>
    <mergeCell ref="D100:G100"/>
    <mergeCell ref="D103:G103"/>
    <mergeCell ref="B102:C102"/>
    <mergeCell ref="F107:G107"/>
    <mergeCell ref="B112:C112"/>
    <mergeCell ref="D112:G112"/>
    <mergeCell ref="B100:C100"/>
    <mergeCell ref="D106:E106"/>
    <mergeCell ref="F106:G106"/>
    <mergeCell ref="B101:C101"/>
    <mergeCell ref="F87:G87"/>
    <mergeCell ref="D86:E86"/>
    <mergeCell ref="F86:G86"/>
    <mergeCell ref="D88:G88"/>
    <mergeCell ref="B88:C88"/>
    <mergeCell ref="B103:C103"/>
    <mergeCell ref="D102:G102"/>
    <mergeCell ref="D101:G101"/>
    <mergeCell ref="C83:J83"/>
    <mergeCell ref="C78:J78"/>
    <mergeCell ref="C77:J77"/>
    <mergeCell ref="H86:I86"/>
    <mergeCell ref="F85:G85"/>
    <mergeCell ref="D85:E85"/>
    <mergeCell ref="B84:M84"/>
    <mergeCell ref="B85:C86"/>
    <mergeCell ref="B1:M1"/>
    <mergeCell ref="B61:M61"/>
    <mergeCell ref="J4:L4"/>
    <mergeCell ref="C25:E25"/>
    <mergeCell ref="C34:E34"/>
    <mergeCell ref="F64:F65"/>
    <mergeCell ref="B57:F57"/>
    <mergeCell ref="C6:I6"/>
    <mergeCell ref="B95:C95"/>
    <mergeCell ref="D94:G94"/>
    <mergeCell ref="C48:E48"/>
    <mergeCell ref="C35:E35"/>
    <mergeCell ref="C46:E46"/>
    <mergeCell ref="D87:E87"/>
    <mergeCell ref="C71:J71"/>
    <mergeCell ref="G64:H64"/>
    <mergeCell ref="B90:C90"/>
    <mergeCell ref="D98:G98"/>
    <mergeCell ref="B94:C94"/>
    <mergeCell ref="D92:G92"/>
    <mergeCell ref="L63:L65"/>
    <mergeCell ref="E63:E65"/>
    <mergeCell ref="C40:E40"/>
    <mergeCell ref="K63:K65"/>
    <mergeCell ref="K66:L66"/>
    <mergeCell ref="B87:C87"/>
    <mergeCell ref="C82:J82"/>
    <mergeCell ref="C24:E24"/>
    <mergeCell ref="C37:E37"/>
    <mergeCell ref="C36:E36"/>
    <mergeCell ref="C31:E31"/>
    <mergeCell ref="C33:E33"/>
    <mergeCell ref="C43:E43"/>
    <mergeCell ref="C38:E38"/>
    <mergeCell ref="C39:E39"/>
    <mergeCell ref="C32:E32"/>
    <mergeCell ref="C26:E26"/>
    <mergeCell ref="C22:E22"/>
    <mergeCell ref="C27:E27"/>
    <mergeCell ref="C23:E23"/>
    <mergeCell ref="C41:E41"/>
    <mergeCell ref="B3:B4"/>
    <mergeCell ref="B63:B66"/>
    <mergeCell ref="D63:D65"/>
    <mergeCell ref="C28:E28"/>
    <mergeCell ref="C51:E51"/>
    <mergeCell ref="C30:E30"/>
    <mergeCell ref="C49:E49"/>
    <mergeCell ref="C29:E29"/>
    <mergeCell ref="C42:E42"/>
    <mergeCell ref="C55:I55"/>
    <mergeCell ref="I66:J66"/>
    <mergeCell ref="C47:E47"/>
    <mergeCell ref="C50:E50"/>
    <mergeCell ref="C70:J70"/>
    <mergeCell ref="I67:J67"/>
    <mergeCell ref="C68:J68"/>
    <mergeCell ref="C72:J72"/>
    <mergeCell ref="C63:C65"/>
    <mergeCell ref="I63:J65"/>
    <mergeCell ref="C69:J69"/>
    <mergeCell ref="C73:J73"/>
    <mergeCell ref="F63:H63"/>
    <mergeCell ref="C52:E52"/>
    <mergeCell ref="B96:C96"/>
    <mergeCell ref="D96:G96"/>
    <mergeCell ref="C81:J81"/>
    <mergeCell ref="C74:J74"/>
    <mergeCell ref="D95:G95"/>
    <mergeCell ref="B92:C92"/>
    <mergeCell ref="B89:C89"/>
    <mergeCell ref="B97:C97"/>
    <mergeCell ref="D97:G97"/>
    <mergeCell ref="B104:C104"/>
    <mergeCell ref="D104:G104"/>
    <mergeCell ref="C75:J75"/>
    <mergeCell ref="C76:J76"/>
    <mergeCell ref="B98:C98"/>
    <mergeCell ref="D90:G90"/>
    <mergeCell ref="D91:G91"/>
    <mergeCell ref="D89:G89"/>
  </mergeCells>
  <phoneticPr fontId="0" type="noConversion"/>
  <pageMargins left="0.18" right="0.18" top="0.55118110236220474" bottom="0.39370078740157483" header="0.31496062992125984" footer="0.19685039370078741"/>
  <pageSetup paperSize="9" scale="72" orientation="landscape" r:id="rId1"/>
  <headerFooter alignWithMargins="0">
    <oddFooter>&amp;L&amp;"Arial CE,Kursywa"&amp;9&amp;D&amp;R&amp;9strona &amp;P z 5</oddFooter>
  </headerFooter>
  <rowBreaks count="3" manualBreakCount="3">
    <brk id="21" max="16383" man="1"/>
    <brk id="59" max="16383" man="1"/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doch_wyd</vt:lpstr>
      <vt:lpstr>definicja</vt:lpstr>
      <vt:lpstr>doch_wyd!Obszar_wydruku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2018-03-19T09:12:59Z</cp:lastPrinted>
  <dcterms:created xsi:type="dcterms:W3CDTF">2001-05-17T08:58:03Z</dcterms:created>
  <dcterms:modified xsi:type="dcterms:W3CDTF">2023-08-14T11:00:43Z</dcterms:modified>
</cp:coreProperties>
</file>