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'doch_wyd'!$B$1:$L$62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<sst xmlns="http://schemas.openxmlformats.org/spreadsheetml/2006/main" count="190" uniqueCount="65">
  <si>
    <t xml:space="preserve">Wyszczególnienie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</si>
  <si>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</si>
  <si>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</si>
  <si>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</si>
  <si>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</si>
  <si>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</si>
  <si>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</si>
  <si>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</si>
  <si>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</si>
  <si>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</si>
  <si>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</si>
  <si>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</si>
  <si>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</si>
  <si>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</si>
  <si>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</si>
  <si>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Wskaźnik 
(3:2)</t>
  </si>
  <si>
    <t xml:space="preserve">podatek dochodowy od osób fizycznych </t>
  </si>
  <si>
    <t>dochody z majątku</t>
  </si>
  <si>
    <t xml:space="preserve">pozostałe dochody 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</si>
  <si>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</si>
  <si>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</si>
  <si>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</si>
  <si>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</si>
  <si>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</si>
  <si>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</si>
  <si>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</si>
  <si>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równoważąca</t>
  </si>
  <si>
    <t>część oświatowa</t>
  </si>
  <si>
    <t>część wyrównawcza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</si>
  <si>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</si>
  <si>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</si>
  <si>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</si>
  <si>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</si>
  <si>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</si>
  <si>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</si>
  <si>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</si>
  <si>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</si>
  <si>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</si>
  <si>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</si>
  <si>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</si>
  <si>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</si>
  <si>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</si>
  <si>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</si>
  <si>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</si>
  <si>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</si>
  <si>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</si>
  <si>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wydatki z tytułu udzielania poręczeń i gwarancji</t>
  </si>
  <si>
    <t>Dotacje ogółem                        z tego:</t>
  </si>
  <si>
    <t>świadczenia na rzecz osób fizycznych</t>
  </si>
  <si>
    <t>w tym: inwestycyjne § 620</t>
  </si>
  <si>
    <t>majątkowe</t>
  </si>
  <si>
    <t>bieżące</t>
  </si>
  <si>
    <t>UE</t>
  </si>
  <si>
    <t>wydatki majątkowe</t>
  </si>
  <si>
    <t>wydatki bieżące</t>
  </si>
  <si>
    <t>w złotych</t>
  </si>
  <si>
    <t>z tytułu pomocy finansowej udzielanej między jst na dofinansowanie własnych zadań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</si>
  <si>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</si>
  <si>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</si>
  <si>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</si>
  <si>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Dotacje §§ 205 i 625</t>
  </si>
  <si>
    <t>Dochody bieżące                minus                                       wydatki bieżące</t>
  </si>
  <si>
    <t>Wydatki ogółem UE                      z tego:</t>
  </si>
  <si>
    <t>#</t>
  </si>
  <si>
    <t>Informacja z wykonania budżetów powiatów za GRUDZIEŃ rok     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</si>
</sst>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3" fillId="42" borderId="3" applyNumberFormat="0" applyAlignment="0" applyProtection="0"/>
    <xf numFmtId="0" fontId="44" fillId="43" borderId="4" applyNumberFormat="0" applyAlignment="0" applyProtection="0"/>
    <xf numFmtId="0" fontId="4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6" fillId="0" borderId="8" applyNumberFormat="0" applyFill="0" applyAlignment="0" applyProtection="0"/>
    <xf numFmtId="0" fontId="47" fillId="46" borderId="9" applyNumberFormat="0" applyAlignment="0" applyProtection="0"/>
    <xf numFmtId="0" fontId="26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51" fillId="47" borderId="0" applyNumberFormat="0" applyBorder="0" applyAlignment="0" applyProtection="0"/>
    <xf numFmtId="0" fontId="41" fillId="0" borderId="0">
      <alignment/>
      <protection/>
    </xf>
    <xf numFmtId="0" fontId="0" fillId="4" borderId="14" applyNumberFormat="0" applyFont="0" applyAlignment="0" applyProtection="0"/>
    <xf numFmtId="0" fontId="52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3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7" fillId="49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0" fontId="13" fillId="40" borderId="19" xfId="0" applyFont="1" applyFill="1" applyBorder="1" applyAlignment="1">
      <alignment horizontal="left" vertical="center" wrapText="1"/>
    </xf>
    <xf numFmtId="4" fontId="33" fillId="40" borderId="19" xfId="0" applyNumberFormat="1" applyFont="1" applyFill="1" applyBorder="1" applyAlignment="1">
      <alignment horizontal="right" vertical="center"/>
    </xf>
    <xf numFmtId="164" fontId="33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164" fontId="34" fillId="0" borderId="19" xfId="0" applyNumberFormat="1" applyFont="1" applyFill="1" applyBorder="1" applyAlignment="1">
      <alignment horizontal="right" vertical="center"/>
    </xf>
    <xf numFmtId="164" fontId="34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4" fontId="33" fillId="40" borderId="19" xfId="0" applyNumberFormat="1" applyFont="1" applyFill="1" applyBorder="1" applyAlignment="1">
      <alignment horizontal="right" vertical="center" wrapText="1"/>
    </xf>
    <xf numFmtId="164" fontId="36" fillId="40" borderId="19" xfId="0" applyNumberFormat="1" applyFont="1" applyFill="1" applyBorder="1" applyAlignment="1">
      <alignment horizontal="right" vertical="center"/>
    </xf>
    <xf numFmtId="164" fontId="35" fillId="0" borderId="19" xfId="0" applyNumberFormat="1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3" fontId="33" fillId="0" borderId="0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/>
    </xf>
    <xf numFmtId="164" fontId="36" fillId="50" borderId="19" xfId="0" applyNumberFormat="1" applyFont="1" applyFill="1" applyBorder="1" applyAlignment="1">
      <alignment horizontal="right" vertical="center"/>
    </xf>
    <xf numFmtId="0" fontId="13" fillId="4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 indent="1"/>
    </xf>
    <xf numFmtId="0" fontId="5" fillId="0" borderId="19" xfId="0" applyFont="1" applyBorder="1" applyAlignment="1">
      <alignment horizontal="left" vertical="top" wrapText="1" indent="2"/>
    </xf>
    <xf numFmtId="0" fontId="13" fillId="50" borderId="19" xfId="0" applyFont="1" applyFill="1" applyBorder="1" applyAlignment="1">
      <alignment horizontal="left" vertical="top" wrapText="1"/>
    </xf>
    <xf numFmtId="4" fontId="33" fillId="50" borderId="19" xfId="0" applyNumberFormat="1" applyFont="1" applyFill="1" applyBorder="1" applyAlignment="1">
      <alignment horizontal="right" vertical="center"/>
    </xf>
    <xf numFmtId="164" fontId="33" fillId="50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top" wrapText="1" indent="2"/>
    </xf>
    <xf numFmtId="4" fontId="34" fillId="50" borderId="19" xfId="0" applyNumberFormat="1" applyFont="1" applyFill="1" applyBorder="1" applyAlignment="1">
      <alignment horizontal="right" vertical="center"/>
    </xf>
    <xf numFmtId="164" fontId="34" fillId="50" borderId="19" xfId="0" applyNumberFormat="1" applyFont="1" applyFill="1" applyBorder="1" applyAlignment="1">
      <alignment horizontal="right" vertical="center"/>
    </xf>
    <xf numFmtId="0" fontId="13" fillId="50" borderId="19" xfId="0" applyFont="1" applyFill="1" applyBorder="1" applyAlignment="1">
      <alignment horizontal="left" vertical="top" wrapText="1" indent="1"/>
    </xf>
    <xf numFmtId="0" fontId="13" fillId="50" borderId="19" xfId="0" applyFont="1" applyFill="1" applyBorder="1" applyAlignment="1">
      <alignment horizontal="left" vertical="center" wrapText="1"/>
    </xf>
    <xf numFmtId="4" fontId="36" fillId="50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4" fontId="34" fillId="0" borderId="19" xfId="0" applyNumberFormat="1" applyFont="1" applyFill="1" applyBorder="1" applyAlignment="1">
      <alignment horizontal="right" vertical="center" wrapText="1"/>
    </xf>
    <xf numFmtId="164" fontId="35" fillId="0" borderId="19" xfId="0" applyNumberFormat="1" applyFont="1" applyFill="1" applyBorder="1" applyAlignment="1">
      <alignment horizontal="right" vertical="center"/>
    </xf>
    <xf numFmtId="4" fontId="34" fillId="50" borderId="19" xfId="0" applyNumberFormat="1" applyFont="1" applyFill="1" applyBorder="1" applyAlignment="1">
      <alignment horizontal="right" vertical="center" wrapText="1"/>
    </xf>
    <xf numFmtId="164" fontId="35" fillId="50" borderId="19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/>
    </xf>
    <xf numFmtId="0" fontId="13" fillId="50" borderId="21" xfId="0" applyFont="1" applyFill="1" applyBorder="1" applyAlignment="1">
      <alignment horizontal="left" vertical="top" wrapText="1"/>
    </xf>
    <xf numFmtId="4" fontId="33" fillId="50" borderId="19" xfId="0" applyNumberFormat="1" applyFont="1" applyFill="1" applyBorder="1" applyAlignment="1">
      <alignment horizontal="right" vertical="center" wrapText="1"/>
    </xf>
    <xf numFmtId="0" fontId="12" fillId="50" borderId="22" xfId="0" applyFont="1" applyFill="1" applyBorder="1" applyAlignment="1">
      <alignment horizontal="center" vertical="top" wrapText="1"/>
    </xf>
    <xf numFmtId="4" fontId="33" fillId="40" borderId="22" xfId="0" applyNumberFormat="1" applyFont="1" applyFill="1" applyBorder="1" applyAlignment="1">
      <alignment horizontal="right" vertical="center" wrapText="1"/>
    </xf>
    <xf numFmtId="0" fontId="33" fillId="0" borderId="22" xfId="0" applyFont="1" applyBorder="1" applyAlignment="1">
      <alignment horizontal="left" vertical="center"/>
    </xf>
    <xf numFmtId="4" fontId="35" fillId="50" borderId="23" xfId="0" applyNumberFormat="1" applyFont="1" applyFill="1" applyBorder="1" applyAlignment="1">
      <alignment horizontal="right" vertical="center"/>
    </xf>
    <xf numFmtId="4" fontId="36" fillId="50" borderId="19" xfId="0" applyNumberFormat="1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4" fontId="36" fillId="50" borderId="19" xfId="0" applyNumberFormat="1" applyFont="1" applyFill="1" applyBorder="1" applyAlignment="1">
      <alignment horizontal="righ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62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4.25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6.625" style="1" customWidth="1"/>
    <col min="13" max="13" width="8.125" style="1" hidden="1" customWidth="1"/>
    <col min="14" max="16384" width="9.125" style="1" customWidth="1"/>
  </cols>
  <sheetData>
    <row r="1" spans="2:13" ht="21" customHeight="1">
      <c r="B1" s="73" t="s">
        <v>64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2:8" ht="57.75" customHeight="1">
      <c r="B2" s="70" t="s">
        <v>0</v>
      </c>
      <c r="C2" s="14" t="s">
        <v>22</v>
      </c>
      <c r="D2" s="14" t="s">
        <v>23</v>
      </c>
      <c r="E2" s="14" t="s">
        <v>24</v>
      </c>
      <c r="F2" s="16" t="s">
        <v>1</v>
      </c>
      <c r="G2" s="14" t="s">
        <v>15</v>
      </c>
      <c r="H2" s="14" t="s">
        <v>2</v>
      </c>
    </row>
    <row r="3" spans="2:8" ht="12.75">
      <c r="B3" s="70"/>
      <c r="C3" s="72" t="s">
        <v>55</v>
      </c>
      <c r="D3" s="72"/>
      <c r="E3" s="72"/>
      <c r="F3" s="72" t="s">
        <v>3</v>
      </c>
      <c r="G3" s="72"/>
      <c r="H3" s="72"/>
    </row>
    <row r="4" spans="2:8" ht="9" customHeight="1">
      <c r="B4" s="16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</row>
    <row r="5" spans="2:8" ht="12.75">
      <c r="B5" s="44" t="s">
        <v>4</v>
      </c>
      <c r="C5" s="45">
        <f>28453503996.74</f>
        <v>28453503996.74</v>
      </c>
      <c r="D5" s="45">
        <f>27945934175.09</f>
        <v>27945934175.09</v>
      </c>
      <c r="E5" s="45" t="s">
        <v>63</v>
      </c>
      <c r="F5" s="46">
        <f aca="true" t="shared" si="0" ref="F5:F33">IF($D$5=0,"",100*$D5/$D$5)</f>
        <v>100</v>
      </c>
      <c r="G5" s="46">
        <f aca="true" t="shared" si="1" ref="G5:G36">IF(C5=0,"",100*D5/C5)</f>
        <v>98.21614300401049</v>
      </c>
      <c r="H5" s="46"/>
    </row>
    <row r="6" spans="2:8" ht="25.5" customHeight="1">
      <c r="B6" s="41" t="s">
        <v>41</v>
      </c>
      <c r="C6" s="24">
        <f>C5-C11-C29</f>
        <v>9789906011.73</v>
      </c>
      <c r="D6" s="24">
        <f>D5-D11-D29</f>
        <v>10050035154.89</v>
      </c>
      <c r="E6" s="45" t="s">
        <v>63</v>
      </c>
      <c r="F6" s="25">
        <f t="shared" si="0"/>
        <v>35.96242334188363</v>
      </c>
      <c r="G6" s="25">
        <f t="shared" si="1"/>
        <v>102.65711583796944</v>
      </c>
      <c r="H6" s="25">
        <f>IF($D$6=0,"",100*$D6/$D$6)</f>
        <v>100</v>
      </c>
    </row>
    <row r="7" spans="2:8" ht="22.5" customHeight="1">
      <c r="B7" s="42" t="s">
        <v>16</v>
      </c>
      <c r="C7" s="26">
        <f>5327495065.02</f>
        <v>5327495065.02</v>
      </c>
      <c r="D7" s="26">
        <f>5613002609</f>
        <v>5613002609</v>
      </c>
      <c r="E7" s="45" t="s">
        <v>63</v>
      </c>
      <c r="F7" s="27">
        <f t="shared" si="0"/>
        <v>20.08522089056958</v>
      </c>
      <c r="G7" s="27">
        <f t="shared" si="1"/>
        <v>105.35913296015278</v>
      </c>
      <c r="H7" s="27">
        <f>IF($D$6=0,"",100*$D7/$D$6)</f>
        <v>55.85057686359343</v>
      </c>
    </row>
    <row r="8" spans="2:8" ht="22.5" customHeight="1">
      <c r="B8" s="42" t="s">
        <v>20</v>
      </c>
      <c r="C8" s="26">
        <f>188685145.77</f>
        <v>188685145.77</v>
      </c>
      <c r="D8" s="26">
        <f>195001567.07</f>
        <v>195001567.07</v>
      </c>
      <c r="E8" s="45" t="s">
        <v>63</v>
      </c>
      <c r="F8" s="27">
        <f t="shared" si="0"/>
        <v>0.6977815300367285</v>
      </c>
      <c r="G8" s="27">
        <f t="shared" si="1"/>
        <v>103.34759860095159</v>
      </c>
      <c r="H8" s="27">
        <f>IF($D$6=0,"",100*$D8/$D$6)</f>
        <v>1.940307313005955</v>
      </c>
    </row>
    <row r="9" spans="2:8" ht="13.5" customHeight="1">
      <c r="B9" s="42" t="s">
        <v>17</v>
      </c>
      <c r="C9" s="26">
        <f>422039574.13</f>
        <v>422039574.13</v>
      </c>
      <c r="D9" s="47">
        <f>356118064.8</f>
        <v>356118064.8</v>
      </c>
      <c r="E9" s="45" t="s">
        <v>63</v>
      </c>
      <c r="F9" s="27">
        <f t="shared" si="0"/>
        <v>1.2743108266440806</v>
      </c>
      <c r="G9" s="27">
        <f t="shared" si="1"/>
        <v>84.38025403994595</v>
      </c>
      <c r="H9" s="27">
        <f>IF($D$6=0,"",100*$D9/$D$6)</f>
        <v>3.543450936355434</v>
      </c>
    </row>
    <row r="10" spans="2:8" ht="13.5" customHeight="1">
      <c r="B10" s="42" t="s">
        <v>18</v>
      </c>
      <c r="C10" s="26">
        <f>C6-C8-C7-C9</f>
        <v>3851686226.8099985</v>
      </c>
      <c r="D10" s="26">
        <f>D6-D8-D7-D9</f>
        <v>3885912914.0199995</v>
      </c>
      <c r="E10" s="45" t="s">
        <v>63</v>
      </c>
      <c r="F10" s="27">
        <f t="shared" si="0"/>
        <v>13.905110094633237</v>
      </c>
      <c r="G10" s="27">
        <f t="shared" si="1"/>
        <v>100.88861566582872</v>
      </c>
      <c r="H10" s="27">
        <f>IF($D$6=0,"",100*$D10/$D$6)</f>
        <v>38.66566488704518</v>
      </c>
    </row>
    <row r="11" spans="2:8" ht="26.25" customHeight="1">
      <c r="B11" s="44" t="s">
        <v>47</v>
      </c>
      <c r="C11" s="45">
        <f>C12+C25+C27</f>
        <v>8167060252.010001</v>
      </c>
      <c r="D11" s="45">
        <f>D12+D25+D27</f>
        <v>7390251593.200001</v>
      </c>
      <c r="E11" s="45" t="s">
        <v>63</v>
      </c>
      <c r="F11" s="46">
        <f t="shared" si="0"/>
        <v>26.44481858039802</v>
      </c>
      <c r="G11" s="46">
        <f t="shared" si="1"/>
        <v>90.48851563671495</v>
      </c>
      <c r="H11" s="48"/>
    </row>
    <row r="12" spans="2:8" ht="25.5" customHeight="1">
      <c r="B12" s="44" t="s">
        <v>42</v>
      </c>
      <c r="C12" s="45">
        <f>C13+C15+C17+C19+C21+C23</f>
        <v>5919202892.380001</v>
      </c>
      <c r="D12" s="45">
        <f>D13+D15+D17+D19+D21+D23</f>
        <v>5744419707.68</v>
      </c>
      <c r="E12" s="45" t="s">
        <v>63</v>
      </c>
      <c r="F12" s="46">
        <f t="shared" si="0"/>
        <v>20.5554756970707</v>
      </c>
      <c r="G12" s="46">
        <f t="shared" si="1"/>
        <v>97.04718375298462</v>
      </c>
      <c r="H12" s="30"/>
    </row>
    <row r="13" spans="2:8" ht="22.5" customHeight="1">
      <c r="B13" s="42" t="s">
        <v>8</v>
      </c>
      <c r="C13" s="26">
        <f>2828261409.37</f>
        <v>2828261409.37</v>
      </c>
      <c r="D13" s="26">
        <f>2799867488.38</f>
        <v>2799867488.38</v>
      </c>
      <c r="E13" s="45" t="s">
        <v>63</v>
      </c>
      <c r="F13" s="27">
        <f t="shared" si="0"/>
        <v>10.0188724085513</v>
      </c>
      <c r="G13" s="27">
        <f t="shared" si="1"/>
        <v>98.99606447636236</v>
      </c>
      <c r="H13" s="30"/>
    </row>
    <row r="14" spans="2:8" ht="12.75">
      <c r="B14" s="49" t="s">
        <v>5</v>
      </c>
      <c r="C14" s="26">
        <f>74771797.62</f>
        <v>74771797.62</v>
      </c>
      <c r="D14" s="26">
        <f>68199148.73</f>
        <v>68199148.73</v>
      </c>
      <c r="E14" s="45" t="s">
        <v>63</v>
      </c>
      <c r="F14" s="27">
        <f t="shared" si="0"/>
        <v>0.24403960985061743</v>
      </c>
      <c r="G14" s="27">
        <f t="shared" si="1"/>
        <v>91.20972198180515</v>
      </c>
      <c r="H14" s="30"/>
    </row>
    <row r="15" spans="2:8" ht="13.5" customHeight="1">
      <c r="B15" s="42" t="s">
        <v>6</v>
      </c>
      <c r="C15" s="26">
        <f>1685992399.2</f>
        <v>1685992399.2</v>
      </c>
      <c r="D15" s="26">
        <f>1646309563.03</f>
        <v>1646309563.03</v>
      </c>
      <c r="E15" s="45" t="s">
        <v>63</v>
      </c>
      <c r="F15" s="27">
        <f t="shared" si="0"/>
        <v>5.891052174943792</v>
      </c>
      <c r="G15" s="27">
        <f t="shared" si="1"/>
        <v>97.64632176344155</v>
      </c>
      <c r="H15" s="30"/>
    </row>
    <row r="16" spans="2:8" ht="12.75">
      <c r="B16" s="49" t="s">
        <v>5</v>
      </c>
      <c r="C16" s="26">
        <f>796279403.09</f>
        <v>796279403.09</v>
      </c>
      <c r="D16" s="26">
        <f>761366207.11</f>
        <v>761366207.11</v>
      </c>
      <c r="E16" s="45" t="s">
        <v>63</v>
      </c>
      <c r="F16" s="27">
        <f t="shared" si="0"/>
        <v>2.7244256797421875</v>
      </c>
      <c r="G16" s="27">
        <f t="shared" si="1"/>
        <v>95.61545911591864</v>
      </c>
      <c r="H16" s="30"/>
    </row>
    <row r="17" spans="2:8" ht="33" customHeight="1">
      <c r="B17" s="42" t="s">
        <v>9</v>
      </c>
      <c r="C17" s="26">
        <f>30088765.89</f>
        <v>30088765.89</v>
      </c>
      <c r="D17" s="26">
        <f>24771730.66</f>
        <v>24771730.66</v>
      </c>
      <c r="E17" s="45" t="s">
        <v>63</v>
      </c>
      <c r="F17" s="27">
        <f t="shared" si="0"/>
        <v>0.08864162673824885</v>
      </c>
      <c r="G17" s="27">
        <f t="shared" si="1"/>
        <v>82.32883578728925</v>
      </c>
      <c r="H17" s="30"/>
    </row>
    <row r="18" spans="2:8" ht="12.75">
      <c r="B18" s="49" t="s">
        <v>5</v>
      </c>
      <c r="C18" s="26">
        <f>416225</f>
        <v>416225</v>
      </c>
      <c r="D18" s="26">
        <f>416225</f>
        <v>416225</v>
      </c>
      <c r="E18" s="45" t="s">
        <v>63</v>
      </c>
      <c r="F18" s="27">
        <f t="shared" si="0"/>
        <v>0.0014893937607961876</v>
      </c>
      <c r="G18" s="27">
        <f t="shared" si="1"/>
        <v>100</v>
      </c>
      <c r="H18" s="30"/>
    </row>
    <row r="19" spans="2:8" ht="25.5" customHeight="1">
      <c r="B19" s="42" t="s">
        <v>10</v>
      </c>
      <c r="C19" s="26">
        <f>402548685.98</f>
        <v>402548685.98</v>
      </c>
      <c r="D19" s="26">
        <f>390266035.89</f>
        <v>390266035.89</v>
      </c>
      <c r="E19" s="45" t="s">
        <v>63</v>
      </c>
      <c r="F19" s="27">
        <f t="shared" si="0"/>
        <v>1.3965038114126422</v>
      </c>
      <c r="G19" s="27">
        <f t="shared" si="1"/>
        <v>96.94877898803767</v>
      </c>
      <c r="H19" s="30"/>
    </row>
    <row r="20" spans="2:8" ht="12.75">
      <c r="B20" s="49" t="s">
        <v>5</v>
      </c>
      <c r="C20" s="26">
        <f>84581801.13</f>
        <v>84581801.13</v>
      </c>
      <c r="D20" s="26">
        <f>75130716.11</f>
        <v>75130716.11</v>
      </c>
      <c r="E20" s="45" t="s">
        <v>63</v>
      </c>
      <c r="F20" s="27">
        <f t="shared" si="0"/>
        <v>0.2688431012514472</v>
      </c>
      <c r="G20" s="27">
        <f t="shared" si="1"/>
        <v>88.82610101258788</v>
      </c>
      <c r="H20" s="30"/>
    </row>
    <row r="21" spans="2:8" ht="33.75">
      <c r="B21" s="42" t="s">
        <v>56</v>
      </c>
      <c r="C21" s="26">
        <f>887616567.67</f>
        <v>887616567.67</v>
      </c>
      <c r="D21" s="26">
        <f>808208910</f>
        <v>808208910</v>
      </c>
      <c r="E21" s="45" t="s">
        <v>63</v>
      </c>
      <c r="F21" s="27">
        <f t="shared" si="0"/>
        <v>2.892044706526248</v>
      </c>
      <c r="G21" s="27">
        <f t="shared" si="1"/>
        <v>91.05383331471091</v>
      </c>
      <c r="H21" s="30"/>
    </row>
    <row r="22" spans="2:8" ht="12.75">
      <c r="B22" s="49" t="s">
        <v>5</v>
      </c>
      <c r="C22" s="26">
        <f>792745329.04</f>
        <v>792745329.04</v>
      </c>
      <c r="D22" s="26">
        <f>720066479.4</f>
        <v>720066479.4</v>
      </c>
      <c r="E22" s="45" t="s">
        <v>63</v>
      </c>
      <c r="F22" s="27">
        <f t="shared" si="0"/>
        <v>2.5766412920339636</v>
      </c>
      <c r="G22" s="27">
        <f t="shared" si="1"/>
        <v>90.83200531398744</v>
      </c>
      <c r="H22" s="30"/>
    </row>
    <row r="23" spans="2:8" ht="15" customHeight="1">
      <c r="B23" s="42" t="s">
        <v>7</v>
      </c>
      <c r="C23" s="26">
        <f>84695064.27</f>
        <v>84695064.27</v>
      </c>
      <c r="D23" s="26">
        <f>74995979.72</f>
        <v>74995979.72</v>
      </c>
      <c r="E23" s="45" t="s">
        <v>63</v>
      </c>
      <c r="F23" s="27">
        <f t="shared" si="0"/>
        <v>0.2683609688984694</v>
      </c>
      <c r="G23" s="27">
        <f t="shared" si="1"/>
        <v>88.5482293052164</v>
      </c>
      <c r="H23" s="30"/>
    </row>
    <row r="24" spans="2:8" ht="12.75">
      <c r="B24" s="49" t="s">
        <v>5</v>
      </c>
      <c r="C24" s="26">
        <f>72163521.96</f>
        <v>72163521.96</v>
      </c>
      <c r="D24" s="26">
        <f>63198917.3</f>
        <v>63198917.3</v>
      </c>
      <c r="E24" s="45" t="s">
        <v>63</v>
      </c>
      <c r="F24" s="27">
        <f t="shared" si="0"/>
        <v>0.2261470913945444</v>
      </c>
      <c r="G24" s="27">
        <f t="shared" si="1"/>
        <v>87.57737369724133</v>
      </c>
      <c r="H24" s="30"/>
    </row>
    <row r="25" spans="2:8" ht="13.5" customHeight="1">
      <c r="B25" s="44" t="s">
        <v>59</v>
      </c>
      <c r="C25" s="24">
        <f>230396839.47</f>
        <v>230396839.47</v>
      </c>
      <c r="D25" s="24">
        <f>181284973.97</f>
        <v>181284973.97</v>
      </c>
      <c r="E25" s="45" t="s">
        <v>63</v>
      </c>
      <c r="F25" s="28">
        <f t="shared" si="0"/>
        <v>0.6486989228350466</v>
      </c>
      <c r="G25" s="28">
        <f t="shared" si="1"/>
        <v>78.6837937477893</v>
      </c>
      <c r="H25" s="20"/>
    </row>
    <row r="26" spans="2:8" ht="13.5" customHeight="1">
      <c r="B26" s="43" t="s">
        <v>49</v>
      </c>
      <c r="C26" s="29">
        <f>144132172.95</f>
        <v>144132172.95</v>
      </c>
      <c r="D26" s="29">
        <f>105326815.96</f>
        <v>105326815.96</v>
      </c>
      <c r="E26" s="45" t="s">
        <v>63</v>
      </c>
      <c r="F26" s="27">
        <f t="shared" si="0"/>
        <v>0.3768949547368666</v>
      </c>
      <c r="G26" s="27">
        <f t="shared" si="1"/>
        <v>73.07654759117403</v>
      </c>
      <c r="H26" s="20"/>
    </row>
    <row r="27" spans="2:8" ht="13.5" customHeight="1">
      <c r="B27" s="44" t="s">
        <v>60</v>
      </c>
      <c r="C27" s="50">
        <f>2017460520.16</f>
        <v>2017460520.16</v>
      </c>
      <c r="D27" s="50">
        <f>1464546911.55</f>
        <v>1464546911.55</v>
      </c>
      <c r="E27" s="45" t="s">
        <v>63</v>
      </c>
      <c r="F27" s="51">
        <f t="shared" si="0"/>
        <v>5.240643960492272</v>
      </c>
      <c r="G27" s="51">
        <f t="shared" si="1"/>
        <v>72.59358470290414</v>
      </c>
      <c r="H27" s="20"/>
    </row>
    <row r="28" spans="2:8" ht="10.5" customHeight="1">
      <c r="B28" s="43" t="s">
        <v>57</v>
      </c>
      <c r="C28" s="29">
        <f>1302713364.62</f>
        <v>1302713364.62</v>
      </c>
      <c r="D28" s="29">
        <f>899761606.03</f>
        <v>899761606.03</v>
      </c>
      <c r="E28" s="45" t="s">
        <v>63</v>
      </c>
      <c r="F28" s="27">
        <f t="shared" si="0"/>
        <v>3.2196512036159275</v>
      </c>
      <c r="G28" s="27">
        <f t="shared" si="1"/>
        <v>69.06827169094558</v>
      </c>
      <c r="H28" s="20"/>
    </row>
    <row r="29" spans="2:8" s="5" customFormat="1" ht="23.25" customHeight="1">
      <c r="B29" s="41" t="s">
        <v>43</v>
      </c>
      <c r="C29" s="24">
        <f>C30+C31+C32+C33</f>
        <v>10496537733</v>
      </c>
      <c r="D29" s="24">
        <f>D30+D31+D32+D33</f>
        <v>10505647427</v>
      </c>
      <c r="E29" s="45" t="s">
        <v>63</v>
      </c>
      <c r="F29" s="25">
        <f t="shared" si="0"/>
        <v>37.59275807771835</v>
      </c>
      <c r="G29" s="25">
        <f t="shared" si="1"/>
        <v>100.08678760779719</v>
      </c>
      <c r="H29" s="21"/>
    </row>
    <row r="30" spans="2:8" ht="11.25" customHeight="1">
      <c r="B30" s="42" t="s">
        <v>27</v>
      </c>
      <c r="C30" s="26">
        <f>7640569365</f>
        <v>7640569365</v>
      </c>
      <c r="D30" s="26">
        <f>7640730332</f>
        <v>7640730332</v>
      </c>
      <c r="E30" s="45" t="s">
        <v>63</v>
      </c>
      <c r="F30" s="27">
        <f t="shared" si="0"/>
        <v>27.341116185733636</v>
      </c>
      <c r="G30" s="27">
        <f t="shared" si="1"/>
        <v>100.00210674090255</v>
      </c>
      <c r="H30" s="20"/>
    </row>
    <row r="31" spans="2:8" ht="10.5" customHeight="1">
      <c r="B31" s="42" t="s">
        <v>26</v>
      </c>
      <c r="C31" s="26">
        <f>629527783</f>
        <v>629527783</v>
      </c>
      <c r="D31" s="26">
        <f>629527783</f>
        <v>629527783</v>
      </c>
      <c r="E31" s="45" t="s">
        <v>63</v>
      </c>
      <c r="F31" s="27">
        <f t="shared" si="0"/>
        <v>2.2526632284174575</v>
      </c>
      <c r="G31" s="27">
        <f t="shared" si="1"/>
        <v>100</v>
      </c>
      <c r="H31" s="20"/>
    </row>
    <row r="32" spans="2:8" ht="11.25" customHeight="1">
      <c r="B32" s="42" t="s">
        <v>28</v>
      </c>
      <c r="C32" s="26">
        <f>2005673066</f>
        <v>2005673066</v>
      </c>
      <c r="D32" s="26">
        <f>2005673066</f>
        <v>2005673066</v>
      </c>
      <c r="E32" s="45" t="s">
        <v>63</v>
      </c>
      <c r="F32" s="27">
        <f t="shared" si="0"/>
        <v>7.176976276526783</v>
      </c>
      <c r="G32" s="27">
        <f t="shared" si="1"/>
        <v>100</v>
      </c>
      <c r="H32" s="20"/>
    </row>
    <row r="33" spans="2:8" s="5" customFormat="1" ht="12" customHeight="1">
      <c r="B33" s="42" t="s">
        <v>25</v>
      </c>
      <c r="C33" s="26">
        <f>220767519</f>
        <v>220767519</v>
      </c>
      <c r="D33" s="26">
        <f>229716246</f>
        <v>229716246</v>
      </c>
      <c r="E33" s="45" t="s">
        <v>63</v>
      </c>
      <c r="F33" s="27">
        <f t="shared" si="0"/>
        <v>0.8220023870404761</v>
      </c>
      <c r="G33" s="27">
        <f t="shared" si="1"/>
        <v>104.05346177759057</v>
      </c>
      <c r="H33" s="21"/>
    </row>
    <row r="34" spans="2:7" s="5" customFormat="1" ht="12.75">
      <c r="B34" s="52" t="s">
        <v>4</v>
      </c>
      <c r="C34" s="50">
        <f>+C5</f>
        <v>28453503996.74</v>
      </c>
      <c r="D34" s="50">
        <f>+D5</f>
        <v>27945934175.09</v>
      </c>
      <c r="E34" s="45" t="s">
        <v>63</v>
      </c>
      <c r="F34" s="51">
        <f>IF($D$5=0,"",100*$D34/$D$34)</f>
        <v>100</v>
      </c>
      <c r="G34" s="51">
        <f t="shared" si="1"/>
        <v>98.21614300401049</v>
      </c>
    </row>
    <row r="35" spans="2:7" s="5" customFormat="1" ht="13.5" customHeight="1">
      <c r="B35" s="42" t="s">
        <v>50</v>
      </c>
      <c r="C35" s="26">
        <f>3889523106.5</f>
        <v>3889523106.5</v>
      </c>
      <c r="D35" s="26">
        <f>3228700593.04</f>
        <v>3228700593.04</v>
      </c>
      <c r="E35" s="45" t="s">
        <v>63</v>
      </c>
      <c r="F35" s="27">
        <f>IF($D$5=0,"",100*$D35/$D$34)</f>
        <v>11.553382230170525</v>
      </c>
      <c r="G35" s="27">
        <f t="shared" si="1"/>
        <v>83.01019185730861</v>
      </c>
    </row>
    <row r="36" spans="1:13" s="5" customFormat="1" ht="14.25" customHeight="1">
      <c r="A36" s="2"/>
      <c r="B36" s="42" t="s">
        <v>51</v>
      </c>
      <c r="C36" s="26">
        <f>C34-C35</f>
        <v>24563980890.24</v>
      </c>
      <c r="D36" s="26">
        <f>D34-D35</f>
        <v>24717233582.05</v>
      </c>
      <c r="E36" s="45" t="s">
        <v>63</v>
      </c>
      <c r="F36" s="27">
        <f>IF($D$5=0,"",100*$D36/$D$34)</f>
        <v>88.44661776982947</v>
      </c>
      <c r="G36" s="27">
        <f t="shared" si="1"/>
        <v>100.62389191920798</v>
      </c>
      <c r="I36" s="15"/>
      <c r="J36" s="15"/>
      <c r="K36" s="9"/>
      <c r="L36" s="9"/>
      <c r="M36" s="3"/>
    </row>
    <row r="37" spans="2:13" ht="32.25" customHeight="1">
      <c r="B37" s="73" t="s">
        <v>64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2:13" s="5" customFormat="1" ht="9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70" t="s">
        <v>0</v>
      </c>
      <c r="C39" s="71" t="s">
        <v>37</v>
      </c>
      <c r="D39" s="71" t="s">
        <v>38</v>
      </c>
      <c r="E39" s="71" t="s">
        <v>39</v>
      </c>
      <c r="F39" s="71" t="s">
        <v>11</v>
      </c>
      <c r="G39" s="71"/>
      <c r="H39" s="71"/>
      <c r="I39" s="71" t="s">
        <v>58</v>
      </c>
      <c r="J39" s="71"/>
      <c r="K39" s="71" t="s">
        <v>1</v>
      </c>
      <c r="L39" s="69" t="s">
        <v>21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70"/>
      <c r="C40" s="71"/>
      <c r="D40" s="74"/>
      <c r="E40" s="71"/>
      <c r="F40" s="68" t="s">
        <v>40</v>
      </c>
      <c r="G40" s="75" t="s">
        <v>19</v>
      </c>
      <c r="H40" s="74"/>
      <c r="I40" s="71"/>
      <c r="J40" s="71"/>
      <c r="K40" s="71"/>
      <c r="L40" s="69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70"/>
      <c r="C41" s="71"/>
      <c r="D41" s="74"/>
      <c r="E41" s="71"/>
      <c r="F41" s="74"/>
      <c r="G41" s="17" t="s">
        <v>35</v>
      </c>
      <c r="H41" s="17" t="s">
        <v>36</v>
      </c>
      <c r="I41" s="71"/>
      <c r="J41" s="71"/>
      <c r="K41" s="71"/>
      <c r="L41" s="69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70"/>
      <c r="C42" s="72" t="s">
        <v>55</v>
      </c>
      <c r="D42" s="72"/>
      <c r="E42" s="72"/>
      <c r="F42" s="72"/>
      <c r="G42" s="72"/>
      <c r="H42" s="72"/>
      <c r="I42" s="72"/>
      <c r="J42" s="72"/>
      <c r="K42" s="72" t="s">
        <v>3</v>
      </c>
      <c r="L42" s="7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6">
        <v>1</v>
      </c>
      <c r="C43" s="18">
        <v>2</v>
      </c>
      <c r="D43" s="18">
        <v>3</v>
      </c>
      <c r="E43" s="18">
        <v>4</v>
      </c>
      <c r="F43" s="16">
        <v>5</v>
      </c>
      <c r="G43" s="16">
        <v>6</v>
      </c>
      <c r="H43" s="18">
        <v>7</v>
      </c>
      <c r="I43" s="74">
        <v>8</v>
      </c>
      <c r="J43" s="74"/>
      <c r="K43" s="16">
        <v>9</v>
      </c>
      <c r="L43" s="18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2" ht="25.5" customHeight="1">
      <c r="B44" s="53" t="s">
        <v>44</v>
      </c>
      <c r="C44" s="54">
        <f>30736449923.89</f>
        <v>30736449923.89</v>
      </c>
      <c r="D44" s="54" t="s">
        <v>63</v>
      </c>
      <c r="E44" s="54">
        <f>28637434586.31</f>
        <v>28637434586.31</v>
      </c>
      <c r="F44" s="67" t="s">
        <v>63</v>
      </c>
      <c r="G44" s="67" t="s">
        <v>63</v>
      </c>
      <c r="H44" s="67" t="s">
        <v>63</v>
      </c>
      <c r="I44" s="76" t="s">
        <v>63</v>
      </c>
      <c r="J44" s="76"/>
      <c r="K44" s="40">
        <f aca="true" t="shared" si="2" ref="K44:K55">IF($E$44=0,"",100*$E44/$E$44)</f>
        <v>100</v>
      </c>
      <c r="L44" s="40">
        <f aca="true" t="shared" si="3" ref="L44:L55">IF(C44=0,"",100*E44/C44)</f>
        <v>93.17092460977892</v>
      </c>
    </row>
    <row r="45" spans="2:12" ht="12.75">
      <c r="B45" s="23" t="s">
        <v>13</v>
      </c>
      <c r="C45" s="33">
        <f>6973027192.69</f>
        <v>6973027192.69</v>
      </c>
      <c r="D45" s="67" t="s">
        <v>63</v>
      </c>
      <c r="E45" s="33">
        <f>5965174738.32</f>
        <v>5965174738.32</v>
      </c>
      <c r="F45" s="67" t="s">
        <v>63</v>
      </c>
      <c r="G45" s="67" t="s">
        <v>63</v>
      </c>
      <c r="H45" s="67" t="s">
        <v>63</v>
      </c>
      <c r="I45" s="76" t="s">
        <v>63</v>
      </c>
      <c r="J45" s="76"/>
      <c r="K45" s="34">
        <f t="shared" si="2"/>
        <v>20.829989922252413</v>
      </c>
      <c r="L45" s="34">
        <f t="shared" si="3"/>
        <v>85.5464143976585</v>
      </c>
    </row>
    <row r="46" spans="2:12" ht="22.5" customHeight="1">
      <c r="B46" s="19" t="s">
        <v>12</v>
      </c>
      <c r="C46" s="29">
        <f>6913625386.08</f>
        <v>6913625386.08</v>
      </c>
      <c r="D46" s="67" t="s">
        <v>63</v>
      </c>
      <c r="E46" s="29">
        <f>5916096086.17</f>
        <v>5916096086.17</v>
      </c>
      <c r="F46" s="67" t="s">
        <v>63</v>
      </c>
      <c r="G46" s="67" t="s">
        <v>63</v>
      </c>
      <c r="H46" s="67" t="s">
        <v>63</v>
      </c>
      <c r="I46" s="76" t="s">
        <v>63</v>
      </c>
      <c r="J46" s="76"/>
      <c r="K46" s="35">
        <f t="shared" si="2"/>
        <v>20.658610562128228</v>
      </c>
      <c r="L46" s="35">
        <f t="shared" si="3"/>
        <v>85.57154540194728</v>
      </c>
    </row>
    <row r="47" spans="2:12" ht="25.5" customHeight="1">
      <c r="B47" s="23" t="s">
        <v>45</v>
      </c>
      <c r="C47" s="33">
        <f>C44-C45</f>
        <v>23763422731.2</v>
      </c>
      <c r="D47" s="67" t="s">
        <v>63</v>
      </c>
      <c r="E47" s="33">
        <f>E44-E45</f>
        <v>22672259847.99</v>
      </c>
      <c r="F47" s="67" t="s">
        <v>63</v>
      </c>
      <c r="G47" s="67" t="s">
        <v>63</v>
      </c>
      <c r="H47" s="67" t="s">
        <v>63</v>
      </c>
      <c r="I47" s="76" t="s">
        <v>63</v>
      </c>
      <c r="J47" s="76"/>
      <c r="K47" s="34">
        <f t="shared" si="2"/>
        <v>79.17001007774758</v>
      </c>
      <c r="L47" s="34">
        <f t="shared" si="3"/>
        <v>95.40822508797368</v>
      </c>
    </row>
    <row r="48" spans="2:12" ht="13.5" customHeight="1">
      <c r="B48" s="19" t="s">
        <v>34</v>
      </c>
      <c r="C48" s="29">
        <f>11976402602.25</f>
        <v>11976402602.25</v>
      </c>
      <c r="D48" s="67" t="s">
        <v>63</v>
      </c>
      <c r="E48" s="29">
        <f>11804933940.26</f>
        <v>11804933940.26</v>
      </c>
      <c r="F48" s="67" t="s">
        <v>63</v>
      </c>
      <c r="G48" s="67" t="s">
        <v>63</v>
      </c>
      <c r="H48" s="67" t="s">
        <v>63</v>
      </c>
      <c r="I48" s="76" t="s">
        <v>63</v>
      </c>
      <c r="J48" s="76"/>
      <c r="K48" s="35">
        <f t="shared" si="2"/>
        <v>41.22203720686383</v>
      </c>
      <c r="L48" s="35">
        <f t="shared" si="3"/>
        <v>98.56827907607426</v>
      </c>
    </row>
    <row r="49" spans="2:12" ht="22.5" customHeight="1">
      <c r="B49" s="55" t="s">
        <v>29</v>
      </c>
      <c r="C49" s="56">
        <f>10767006735.98</f>
        <v>10767006735.98</v>
      </c>
      <c r="D49" s="67" t="s">
        <v>63</v>
      </c>
      <c r="E49" s="56">
        <f>10629692656.91</f>
        <v>10629692656.91</v>
      </c>
      <c r="F49" s="67" t="s">
        <v>63</v>
      </c>
      <c r="G49" s="67" t="s">
        <v>63</v>
      </c>
      <c r="H49" s="67" t="s">
        <v>63</v>
      </c>
      <c r="I49" s="76" t="s">
        <v>63</v>
      </c>
      <c r="J49" s="76"/>
      <c r="K49" s="57">
        <f t="shared" si="2"/>
        <v>37.118173504240765</v>
      </c>
      <c r="L49" s="57">
        <f t="shared" si="3"/>
        <v>98.72467731805963</v>
      </c>
    </row>
    <row r="50" spans="2:12" ht="13.5" customHeight="1">
      <c r="B50" s="22" t="s">
        <v>33</v>
      </c>
      <c r="C50" s="26">
        <f>1999281698.76</f>
        <v>1999281698.76</v>
      </c>
      <c r="D50" s="67" t="s">
        <v>63</v>
      </c>
      <c r="E50" s="26">
        <f>1947918841.65</f>
        <v>1947918841.65</v>
      </c>
      <c r="F50" s="67" t="s">
        <v>63</v>
      </c>
      <c r="G50" s="67" t="s">
        <v>63</v>
      </c>
      <c r="H50" s="67" t="s">
        <v>63</v>
      </c>
      <c r="I50" s="76" t="s">
        <v>63</v>
      </c>
      <c r="J50" s="76"/>
      <c r="K50" s="57">
        <f t="shared" si="2"/>
        <v>6.8020018894471574</v>
      </c>
      <c r="L50" s="57">
        <f t="shared" si="3"/>
        <v>97.43093446301957</v>
      </c>
    </row>
    <row r="51" spans="2:12" ht="13.5" customHeight="1">
      <c r="B51" s="22" t="s">
        <v>32</v>
      </c>
      <c r="C51" s="56">
        <f>1830825127.83</f>
        <v>1830825127.83</v>
      </c>
      <c r="D51" s="67" t="s">
        <v>63</v>
      </c>
      <c r="E51" s="56">
        <f>1736887451.6</f>
        <v>1736887451.6</v>
      </c>
      <c r="F51" s="67" t="s">
        <v>63</v>
      </c>
      <c r="G51" s="67" t="s">
        <v>63</v>
      </c>
      <c r="H51" s="67" t="s">
        <v>63</v>
      </c>
      <c r="I51" s="76" t="s">
        <v>63</v>
      </c>
      <c r="J51" s="76"/>
      <c r="K51" s="57">
        <f t="shared" si="2"/>
        <v>6.065094435624871</v>
      </c>
      <c r="L51" s="57">
        <f t="shared" si="3"/>
        <v>94.86910711448776</v>
      </c>
    </row>
    <row r="52" spans="2:12" ht="13.5" customHeight="1">
      <c r="B52" s="22" t="s">
        <v>31</v>
      </c>
      <c r="C52" s="26">
        <f>178172763.81</f>
        <v>178172763.81</v>
      </c>
      <c r="D52" s="67" t="s">
        <v>63</v>
      </c>
      <c r="E52" s="26">
        <f>154992389.7</f>
        <v>154992389.7</v>
      </c>
      <c r="F52" s="67" t="s">
        <v>63</v>
      </c>
      <c r="G52" s="67" t="s">
        <v>63</v>
      </c>
      <c r="H52" s="67" t="s">
        <v>63</v>
      </c>
      <c r="I52" s="76" t="s">
        <v>63</v>
      </c>
      <c r="J52" s="76"/>
      <c r="K52" s="57">
        <f t="shared" si="2"/>
        <v>0.5412230248239254</v>
      </c>
      <c r="L52" s="57">
        <f t="shared" si="3"/>
        <v>86.98994525632486</v>
      </c>
    </row>
    <row r="53" spans="2:12" ht="22.5" customHeight="1">
      <c r="B53" s="22" t="s">
        <v>46</v>
      </c>
      <c r="C53" s="56">
        <f>23081999.64</f>
        <v>23081999.64</v>
      </c>
      <c r="D53" s="67" t="s">
        <v>63</v>
      </c>
      <c r="E53" s="56">
        <f>6797801.7</f>
        <v>6797801.7</v>
      </c>
      <c r="F53" s="67" t="s">
        <v>63</v>
      </c>
      <c r="G53" s="67" t="s">
        <v>63</v>
      </c>
      <c r="H53" s="67" t="s">
        <v>63</v>
      </c>
      <c r="I53" s="76" t="s">
        <v>63</v>
      </c>
      <c r="J53" s="76"/>
      <c r="K53" s="57">
        <f t="shared" si="2"/>
        <v>0.0237374674030671</v>
      </c>
      <c r="L53" s="57">
        <f t="shared" si="3"/>
        <v>29.450662013787294</v>
      </c>
    </row>
    <row r="54" spans="2:12" ht="22.5" customHeight="1">
      <c r="B54" s="22" t="s">
        <v>48</v>
      </c>
      <c r="C54" s="56">
        <f>1122317595.51</f>
        <v>1122317595.51</v>
      </c>
      <c r="D54" s="67" t="s">
        <v>63</v>
      </c>
      <c r="E54" s="56">
        <f>1062776802.58</f>
        <v>1062776802.58</v>
      </c>
      <c r="F54" s="67" t="s">
        <v>63</v>
      </c>
      <c r="G54" s="67" t="s">
        <v>63</v>
      </c>
      <c r="H54" s="67" t="s">
        <v>63</v>
      </c>
      <c r="I54" s="76" t="s">
        <v>63</v>
      </c>
      <c r="J54" s="76"/>
      <c r="K54" s="57">
        <f t="shared" si="2"/>
        <v>3.7111452821547632</v>
      </c>
      <c r="L54" s="57">
        <f t="shared" si="3"/>
        <v>94.69483565363299</v>
      </c>
    </row>
    <row r="55" spans="2:12" ht="13.5" customHeight="1">
      <c r="B55" s="19" t="s">
        <v>30</v>
      </c>
      <c r="C55" s="29">
        <f>C47-C48-C50-C51-C52-C53-C54</f>
        <v>6633340943.4</v>
      </c>
      <c r="D55" s="67" t="s">
        <v>63</v>
      </c>
      <c r="E55" s="29">
        <f>E47-E48-E50-E51-E52-E53-E54</f>
        <v>5957952620.500002</v>
      </c>
      <c r="F55" s="67" t="s">
        <v>63</v>
      </c>
      <c r="G55" s="67" t="s">
        <v>63</v>
      </c>
      <c r="H55" s="67" t="s">
        <v>63</v>
      </c>
      <c r="I55" s="76" t="s">
        <v>63</v>
      </c>
      <c r="J55" s="76"/>
      <c r="K55" s="35">
        <f t="shared" si="2"/>
        <v>20.80477077142998</v>
      </c>
      <c r="L55" s="35">
        <f t="shared" si="3"/>
        <v>89.81827816988677</v>
      </c>
    </row>
    <row r="56" spans="2:13" ht="12.75">
      <c r="B56" s="53" t="s">
        <v>14</v>
      </c>
      <c r="C56" s="62">
        <f>C5-C44</f>
        <v>-2282945927.1499977</v>
      </c>
      <c r="D56" s="67" t="s">
        <v>63</v>
      </c>
      <c r="E56" s="62">
        <f>D5-E44</f>
        <v>-691500411.2200012</v>
      </c>
      <c r="F56" s="67" t="s">
        <v>63</v>
      </c>
      <c r="G56" s="67" t="s">
        <v>63</v>
      </c>
      <c r="H56" s="67" t="s">
        <v>63</v>
      </c>
      <c r="I56" s="76" t="s">
        <v>63</v>
      </c>
      <c r="J56" s="76"/>
      <c r="K56" s="66"/>
      <c r="L56" s="66"/>
      <c r="M56" s="13"/>
    </row>
    <row r="57" spans="2:13" ht="39" customHeight="1">
      <c r="B57" s="63" t="s">
        <v>61</v>
      </c>
      <c r="C57" s="64">
        <f>C36-C47</f>
        <v>800558159.0400009</v>
      </c>
      <c r="D57" s="65"/>
      <c r="E57" s="64">
        <f>D36-E47</f>
        <v>2044973734.0599976</v>
      </c>
      <c r="F57" s="65"/>
      <c r="G57" s="65"/>
      <c r="H57" s="65"/>
      <c r="I57" s="65"/>
      <c r="J57" s="65"/>
      <c r="K57" s="36"/>
      <c r="L57" s="37"/>
      <c r="M57" s="10"/>
    </row>
    <row r="58" spans="2:13" ht="12" customHeight="1" thickBot="1">
      <c r="B58" s="31"/>
      <c r="C58" s="38"/>
      <c r="D58" s="38"/>
      <c r="E58" s="38"/>
      <c r="F58" s="39"/>
      <c r="G58" s="39"/>
      <c r="H58" s="39"/>
      <c r="I58" s="39"/>
      <c r="J58" s="36"/>
      <c r="K58" s="36"/>
      <c r="L58" s="37"/>
      <c r="M58" s="10"/>
    </row>
    <row r="59" spans="2:13" ht="12" customHeight="1" thickBot="1">
      <c r="B59" s="32" t="s">
        <v>52</v>
      </c>
      <c r="C59" s="38"/>
      <c r="D59" s="38"/>
      <c r="E59" s="38"/>
      <c r="F59" s="39"/>
      <c r="G59" s="39"/>
      <c r="H59" s="39"/>
      <c r="I59" s="39"/>
      <c r="J59" s="36"/>
      <c r="K59" s="36"/>
      <c r="L59" s="37"/>
      <c r="M59" s="10"/>
    </row>
    <row r="60" spans="2:13" ht="30" customHeight="1" thickBot="1">
      <c r="B60" s="61" t="s">
        <v>62</v>
      </c>
      <c r="C60" s="58">
        <f>3148115737.78</f>
        <v>3148115737.78</v>
      </c>
      <c r="D60" s="58" t="s">
        <v>63</v>
      </c>
      <c r="E60" s="58">
        <f>2376175229.33</f>
        <v>2376175229.33</v>
      </c>
      <c r="F60" s="58" t="s">
        <v>63</v>
      </c>
      <c r="G60" s="58" t="s">
        <v>63</v>
      </c>
      <c r="H60" s="58" t="s">
        <v>63</v>
      </c>
      <c r="I60" s="58" t="s">
        <v>63</v>
      </c>
      <c r="J60" s="58" t="s">
        <v>63</v>
      </c>
      <c r="K60" s="40">
        <f>IF($E$44=0,"",100*$E60/$E$60)</f>
        <v>100</v>
      </c>
      <c r="L60" s="59">
        <f>IF(C60=0,"",100*E60/C60)</f>
        <v>75.47928434821904</v>
      </c>
      <c r="M60" s="10"/>
    </row>
    <row r="61" spans="2:12" ht="13.5" thickBot="1">
      <c r="B61" s="60" t="s">
        <v>53</v>
      </c>
      <c r="C61" s="56">
        <f>2150179091.65</f>
        <v>2150179091.65</v>
      </c>
      <c r="D61" s="58" t="s">
        <v>63</v>
      </c>
      <c r="E61" s="56">
        <f>1659589312.86</f>
        <v>1659589312.86</v>
      </c>
      <c r="F61" s="58" t="s">
        <v>63</v>
      </c>
      <c r="G61" s="58" t="s">
        <v>63</v>
      </c>
      <c r="H61" s="58" t="s">
        <v>63</v>
      </c>
      <c r="I61" s="58" t="s">
        <v>63</v>
      </c>
      <c r="J61" s="58" t="s">
        <v>63</v>
      </c>
      <c r="K61" s="57">
        <f>IF($E$44=0,"",100*$E61/$E$60)</f>
        <v>69.84288416001826</v>
      </c>
      <c r="L61" s="57">
        <f>IF(C61=0,"",100*E61/C61)</f>
        <v>77.18377131025247</v>
      </c>
    </row>
    <row r="62" spans="2:12" ht="13.5" thickBot="1">
      <c r="B62" s="60" t="s">
        <v>54</v>
      </c>
      <c r="C62" s="56">
        <f>C60-C61</f>
        <v>997936646.1300001</v>
      </c>
      <c r="D62" s="58" t="s">
        <v>63</v>
      </c>
      <c r="E62" s="56">
        <f>E60-E61</f>
        <v>716585916.47</v>
      </c>
      <c r="F62" s="58" t="s">
        <v>63</v>
      </c>
      <c r="G62" s="58" t="s">
        <v>63</v>
      </c>
      <c r="H62" s="58" t="s">
        <v>63</v>
      </c>
      <c r="I62" s="58" t="s">
        <v>63</v>
      </c>
      <c r="J62" s="58" t="s">
        <v>63</v>
      </c>
      <c r="K62" s="57">
        <f>IF($E$44=0,"",100*$E62/$E$60)</f>
        <v>30.157115839981746</v>
      </c>
      <c r="L62" s="57">
        <f>IF(C62=0,"",100*E62/C62)</f>
        <v>71.80675439156597</v>
      </c>
    </row>
  </sheetData>
  <sheetProtection/>
  <mergeCells count="31">
    <mergeCell ref="I52:J52"/>
    <mergeCell ref="I53:J53"/>
    <mergeCell ref="I55:J55"/>
    <mergeCell ref="I56:J56"/>
    <mergeCell ref="I54:J54"/>
    <mergeCell ref="I49:J49"/>
    <mergeCell ref="F40:F41"/>
    <mergeCell ref="F39:H39"/>
    <mergeCell ref="G40:H40"/>
    <mergeCell ref="I48:J48"/>
    <mergeCell ref="I50:J50"/>
    <mergeCell ref="I51:J51"/>
    <mergeCell ref="I44:J44"/>
    <mergeCell ref="I45:J45"/>
    <mergeCell ref="I46:J46"/>
    <mergeCell ref="I47:J47"/>
    <mergeCell ref="I43:J43"/>
    <mergeCell ref="B1:M1"/>
    <mergeCell ref="I39:J41"/>
    <mergeCell ref="D39:D41"/>
    <mergeCell ref="E39:E41"/>
    <mergeCell ref="L39:L41"/>
    <mergeCell ref="B2:B3"/>
    <mergeCell ref="C39:C41"/>
    <mergeCell ref="B39:B42"/>
    <mergeCell ref="K39:K41"/>
    <mergeCell ref="K42:L42"/>
    <mergeCell ref="F3:H3"/>
    <mergeCell ref="B37:M37"/>
    <mergeCell ref="C42:J42"/>
    <mergeCell ref="C3:E3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85" r:id="rId3"/>
  <headerFooter alignWithMargins="0">
    <oddFooter>&amp;RStrona &amp;P z &amp;N</oddFooter>
  </headerFooter>
  <rowBreaks count="1" manualBreakCount="1">
    <brk id="3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2017-03-30T11:49:59Z</cp:lastPrinted>
  <dcterms:created xsi:type="dcterms:W3CDTF">2001-05-17T08:58:03Z</dcterms:created>
  <dcterms:modified xsi:type="dcterms:W3CDTF">2019-03-21T13:28:50Z</dcterms:modified>
  <cp:category/>
  <cp:version/>
  <cp:contentType/>
  <cp:contentStatus/>
</cp:coreProperties>
</file>