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94C28335-58E9-4719-997F-BFFF9BCAA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1" i="4" l="1"/>
  <c r="C130" i="4"/>
  <c r="C129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I92" i="4"/>
  <c r="H92" i="4"/>
  <c r="G92" i="4"/>
  <c r="F92" i="4"/>
  <c r="E92" i="4"/>
  <c r="D92" i="4"/>
  <c r="C92" i="4"/>
  <c r="I91" i="4"/>
  <c r="I93" i="4" s="1"/>
  <c r="H91" i="4"/>
  <c r="G91" i="4"/>
  <c r="F91" i="4"/>
  <c r="E91" i="4"/>
  <c r="D91" i="4"/>
  <c r="C91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F69" i="4" s="1"/>
  <c r="F75" i="4" s="1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K50" i="4" s="1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K42" i="4" s="1"/>
  <c r="C42" i="4"/>
  <c r="D41" i="4"/>
  <c r="C41" i="4"/>
  <c r="D40" i="4"/>
  <c r="C40" i="4"/>
  <c r="C27" i="4" s="1"/>
  <c r="D39" i="4"/>
  <c r="C39" i="4"/>
  <c r="D38" i="4"/>
  <c r="C38" i="4"/>
  <c r="K38" i="4" s="1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K31" i="4" s="1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K21" i="4" s="1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K9" i="4" s="1"/>
  <c r="I8" i="4"/>
  <c r="H8" i="4"/>
  <c r="G8" i="4"/>
  <c r="F8" i="4"/>
  <c r="E8" i="4"/>
  <c r="D8" i="4"/>
  <c r="C8" i="4"/>
  <c r="I6" i="4"/>
  <c r="H6" i="4"/>
  <c r="G6" i="4"/>
  <c r="G7" i="4" s="1"/>
  <c r="F6" i="4"/>
  <c r="F7" i="4" s="1"/>
  <c r="F25" i="4" s="1"/>
  <c r="E6" i="4"/>
  <c r="D6" i="4"/>
  <c r="J17" i="4" s="1"/>
  <c r="C6" i="4"/>
  <c r="K47" i="4"/>
  <c r="D129" i="4"/>
  <c r="B59" i="4" s="1"/>
  <c r="K11" i="4"/>
  <c r="K33" i="4"/>
  <c r="K49" i="4"/>
  <c r="K19" i="4"/>
  <c r="K35" i="4"/>
  <c r="K51" i="4"/>
  <c r="J32" i="4"/>
  <c r="J23" i="4"/>
  <c r="D76" i="4"/>
  <c r="J52" i="4"/>
  <c r="K14" i="4"/>
  <c r="K23" i="4"/>
  <c r="K37" i="4"/>
  <c r="K53" i="4"/>
  <c r="K12" i="4"/>
  <c r="K39" i="4"/>
  <c r="K41" i="4"/>
  <c r="K15" i="4"/>
  <c r="K43" i="4"/>
  <c r="K72" i="4"/>
  <c r="K92" i="4"/>
  <c r="K29" i="4"/>
  <c r="K45" i="4"/>
  <c r="K67" i="4"/>
  <c r="J105" i="4"/>
  <c r="J104" i="4"/>
  <c r="J99" i="4"/>
  <c r="J107" i="4"/>
  <c r="J102" i="4"/>
  <c r="J106" i="4"/>
  <c r="J98" i="4"/>
  <c r="J101" i="4"/>
  <c r="J103" i="4"/>
  <c r="J100" i="4"/>
  <c r="J108" i="4"/>
  <c r="K20" i="4"/>
  <c r="E69" i="4"/>
  <c r="E75" i="4"/>
  <c r="K73" i="4"/>
  <c r="E93" i="4"/>
  <c r="K100" i="4"/>
  <c r="K104" i="4"/>
  <c r="K108" i="4"/>
  <c r="K112" i="4"/>
  <c r="F93" i="4"/>
  <c r="H7" i="4"/>
  <c r="H55" i="4"/>
  <c r="H57" i="4"/>
  <c r="K10" i="4"/>
  <c r="K18" i="4"/>
  <c r="G69" i="4"/>
  <c r="G75" i="4"/>
  <c r="K71" i="4"/>
  <c r="G93" i="4"/>
  <c r="K101" i="4"/>
  <c r="K105" i="4"/>
  <c r="K109" i="4"/>
  <c r="K113" i="4"/>
  <c r="K17" i="4"/>
  <c r="K32" i="4"/>
  <c r="K44" i="4"/>
  <c r="K52" i="4"/>
  <c r="H69" i="4"/>
  <c r="H75" i="4"/>
  <c r="K70" i="4"/>
  <c r="H93" i="4"/>
  <c r="J110" i="4"/>
  <c r="J114" i="4"/>
  <c r="J113" i="4"/>
  <c r="J111" i="4"/>
  <c r="J112" i="4"/>
  <c r="J109" i="4"/>
  <c r="I7" i="4"/>
  <c r="I55" i="4"/>
  <c r="I57" i="4"/>
  <c r="K28" i="4"/>
  <c r="K36" i="4"/>
  <c r="K48" i="4"/>
  <c r="K8" i="4"/>
  <c r="K16" i="4"/>
  <c r="K24" i="4"/>
  <c r="D27" i="4"/>
  <c r="D26" i="4" s="1"/>
  <c r="I69" i="4"/>
  <c r="I75" i="4"/>
  <c r="K68" i="4"/>
  <c r="K98" i="4"/>
  <c r="K102" i="4"/>
  <c r="K106" i="4"/>
  <c r="K110" i="4"/>
  <c r="K114" i="4"/>
  <c r="K22" i="4"/>
  <c r="K66" i="4"/>
  <c r="C69" i="4"/>
  <c r="K69" i="4" s="1"/>
  <c r="K91" i="4"/>
  <c r="C93" i="4"/>
  <c r="K99" i="4"/>
  <c r="K103" i="4"/>
  <c r="K107" i="4"/>
  <c r="K111" i="4"/>
  <c r="E55" i="4"/>
  <c r="E57" i="4"/>
  <c r="E7" i="4"/>
  <c r="K13" i="4"/>
  <c r="K30" i="4"/>
  <c r="K34" i="4"/>
  <c r="K46" i="4"/>
  <c r="K56" i="4"/>
  <c r="J71" i="4"/>
  <c r="J74" i="4"/>
  <c r="J70" i="4"/>
  <c r="D69" i="4"/>
  <c r="D75" i="4"/>
  <c r="J75" i="4"/>
  <c r="J67" i="4"/>
  <c r="J68" i="4"/>
  <c r="J73" i="4"/>
  <c r="J72" i="4"/>
  <c r="J66" i="4"/>
  <c r="K74" i="4"/>
  <c r="D93" i="4"/>
  <c r="J93" i="4" s="1"/>
  <c r="J91" i="4"/>
  <c r="J92" i="4"/>
  <c r="J69" i="4"/>
  <c r="I25" i="4" l="1"/>
  <c r="E25" i="4"/>
  <c r="B1" i="4"/>
  <c r="B94" i="4"/>
  <c r="K93" i="4"/>
  <c r="C75" i="4"/>
  <c r="K75" i="4" s="1"/>
  <c r="K27" i="4"/>
  <c r="C26" i="4"/>
  <c r="K40" i="4"/>
  <c r="K26" i="4"/>
  <c r="H25" i="4"/>
  <c r="G25" i="4"/>
  <c r="G55" i="4"/>
  <c r="G57" i="4" s="1"/>
  <c r="F55" i="4"/>
  <c r="F57" i="4" s="1"/>
  <c r="D7" i="4"/>
  <c r="J34" i="4"/>
  <c r="J48" i="4"/>
  <c r="J44" i="4"/>
  <c r="J35" i="4"/>
  <c r="J53" i="4"/>
  <c r="J10" i="4"/>
  <c r="J36" i="4"/>
  <c r="J28" i="4"/>
  <c r="D55" i="4"/>
  <c r="J6" i="4"/>
  <c r="J21" i="4"/>
  <c r="J15" i="4"/>
  <c r="J39" i="4"/>
  <c r="J37" i="4"/>
  <c r="J14" i="4"/>
  <c r="J29" i="4"/>
  <c r="J11" i="4"/>
  <c r="J9" i="4"/>
  <c r="J24" i="4"/>
  <c r="J45" i="4"/>
  <c r="J47" i="4"/>
  <c r="J38" i="4"/>
  <c r="J43" i="4"/>
  <c r="J51" i="4"/>
  <c r="J46" i="4"/>
  <c r="J33" i="4"/>
  <c r="J22" i="4"/>
  <c r="J50" i="4"/>
  <c r="J49" i="4"/>
  <c r="J12" i="4"/>
  <c r="J18" i="4"/>
  <c r="J13" i="4"/>
  <c r="J41" i="4"/>
  <c r="J31" i="4"/>
  <c r="J26" i="4"/>
  <c r="J30" i="4"/>
  <c r="J27" i="4"/>
  <c r="J20" i="4"/>
  <c r="J16" i="4"/>
  <c r="J42" i="4"/>
  <c r="J19" i="4"/>
  <c r="J8" i="4"/>
  <c r="J40" i="4"/>
  <c r="K6" i="4"/>
  <c r="C7" i="4"/>
  <c r="C76" i="4"/>
  <c r="C55" i="4"/>
  <c r="J55" i="4" l="1"/>
  <c r="D57" i="4"/>
  <c r="D77" i="4" s="1"/>
  <c r="J56" i="4"/>
  <c r="L10" i="4"/>
  <c r="L21" i="4"/>
  <c r="L19" i="4"/>
  <c r="L14" i="4"/>
  <c r="L22" i="4"/>
  <c r="L18" i="4"/>
  <c r="L15" i="4"/>
  <c r="L8" i="4"/>
  <c r="L9" i="4"/>
  <c r="L13" i="4"/>
  <c r="L20" i="4"/>
  <c r="L7" i="4"/>
  <c r="L17" i="4"/>
  <c r="L12" i="4"/>
  <c r="L11" i="4"/>
  <c r="L16" i="4"/>
  <c r="L23" i="4"/>
  <c r="L24" i="4"/>
  <c r="J7" i="4"/>
  <c r="D25" i="4"/>
  <c r="J25" i="4" s="1"/>
  <c r="K7" i="4"/>
  <c r="C25" i="4"/>
  <c r="K55" i="4"/>
  <c r="C57" i="4"/>
  <c r="K25" i="4" l="1"/>
  <c r="J57" i="4"/>
  <c r="L25" i="4"/>
  <c r="K57" i="4"/>
  <c r="C77" i="4"/>
</calcChain>
</file>

<file path=xl/sharedStrings.xml><?xml version="1.0" encoding="utf-8"?>
<sst xmlns="http://schemas.openxmlformats.org/spreadsheetml/2006/main" count="373" uniqueCount="124">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</sst>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6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7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7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vertical="center" wrapText="1"/>
    </xf>
    <xf numFmtId="0" fontId="2" fillId="0" borderId="10" xfId="0" applyNumberFormat="1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6" fillId="0" borderId="0" xfId="0" applyFont="1"/>
    <xf numFmtId="0" fontId="1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vertical="center" wrapText="1"/>
    </xf>
    <xf numFmtId="0" fontId="7" fillId="23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1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45.7109375" style="1" customWidth="1"/>
    <col min="3" max="3" width="14.5703125" style="1" customWidth="1"/>
    <col min="4" max="4" width="15.7109375" style="1" customWidth="1"/>
    <col min="5" max="5" width="14.5703125" style="1" customWidth="1" outlineLevel="1"/>
    <col min="6" max="6" width="15.71093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2.85546875" style="1" customWidth="1"/>
    <col min="14" max="16384" width="9.140625" style="1"/>
  </cols>
  <sheetData>
    <row r="1" spans="2:13" ht="20.25" x14ac:dyDescent="0.2">
      <c r="B1" s="86" t="str">
        <f>CONCATENATE("Informacja z wykonania budżetów jednostek samorządu terytorialnego za ",$D$129," ",$C$130," roku")</f>
        <v>Informacja z wykonania budżetów jednostek samorządu terytorialnego za I Kwartał 2025 roku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3" spans="2:13" ht="57.75" x14ac:dyDescent="0.2">
      <c r="B3" s="117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17"/>
      <c r="C4" s="119" t="s">
        <v>64</v>
      </c>
      <c r="D4" s="120"/>
      <c r="E4" s="120"/>
      <c r="F4" s="120"/>
      <c r="G4" s="120"/>
      <c r="H4" s="120"/>
      <c r="I4" s="121"/>
      <c r="J4" s="118" t="s">
        <v>4</v>
      </c>
      <c r="K4" s="118"/>
      <c r="L4" s="118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x14ac:dyDescent="0.2">
      <c r="B6" s="56" t="s">
        <v>5</v>
      </c>
      <c r="C6" s="57">
        <f>459128464540</f>
        <v>459128464540</v>
      </c>
      <c r="D6" s="57">
        <f>140046446374.97</f>
        <v>140046446374.97</v>
      </c>
      <c r="E6" s="57">
        <f>1613868133.27</f>
        <v>1613868133.27</v>
      </c>
      <c r="F6" s="57">
        <f>240956513.89</f>
        <v>240956513.88999999</v>
      </c>
      <c r="G6" s="57">
        <f>30317600.87</f>
        <v>30317600.870000001</v>
      </c>
      <c r="H6" s="57">
        <f>90238880.87</f>
        <v>90238880.870000005</v>
      </c>
      <c r="I6" s="57">
        <f>594903.94</f>
        <v>594903.93999999994</v>
      </c>
      <c r="J6" s="58">
        <f t="shared" ref="J6:J53" si="0">IF($D$6=0,"",100*$D6/$D$6)</f>
        <v>100</v>
      </c>
      <c r="K6" s="58">
        <f t="shared" ref="K6:K53" si="1">IF(C6=0,"",100*D6/C6)</f>
        <v>30.502671298169737</v>
      </c>
      <c r="L6" s="58"/>
    </row>
    <row r="7" spans="2:13" ht="25.5" x14ac:dyDescent="0.2">
      <c r="B7" s="75" t="s">
        <v>46</v>
      </c>
      <c r="C7" s="25">
        <f>C6-C26-C50</f>
        <v>314373899762.79004</v>
      </c>
      <c r="D7" s="25">
        <f>D6-D26-D50</f>
        <v>105315793248.59999</v>
      </c>
      <c r="E7" s="25">
        <f>E6</f>
        <v>1613868133.27</v>
      </c>
      <c r="F7" s="25">
        <f>F6</f>
        <v>240956513.88999999</v>
      </c>
      <c r="G7" s="25">
        <f>G6</f>
        <v>30317600.870000001</v>
      </c>
      <c r="H7" s="25">
        <f>H6</f>
        <v>90238880.870000005</v>
      </c>
      <c r="I7" s="25">
        <f>I6</f>
        <v>594903.93999999994</v>
      </c>
      <c r="J7" s="34">
        <f t="shared" si="0"/>
        <v>75.20061806253922</v>
      </c>
      <c r="K7" s="34">
        <f t="shared" si="1"/>
        <v>33.500170761016022</v>
      </c>
      <c r="L7" s="34">
        <f t="shared" ref="L7:L25" si="2">IF($D$7=0,"",100*$D7/$D$7)</f>
        <v>100.00000000000001</v>
      </c>
    </row>
    <row r="8" spans="2:13" outlineLevel="1" x14ac:dyDescent="0.2">
      <c r="B8" s="31" t="s">
        <v>100</v>
      </c>
      <c r="C8" s="23">
        <f>173397197373.26</f>
        <v>173397197373.26001</v>
      </c>
      <c r="D8" s="23">
        <f>66723246212</f>
        <v>66723246212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47.643655329425911</v>
      </c>
      <c r="K8" s="35">
        <f t="shared" si="1"/>
        <v>38.480002689068577</v>
      </c>
      <c r="L8" s="35">
        <f t="shared" si="2"/>
        <v>63.355403927403813</v>
      </c>
    </row>
    <row r="9" spans="2:13" outlineLevel="1" x14ac:dyDescent="0.2">
      <c r="B9" s="31" t="s">
        <v>101</v>
      </c>
      <c r="C9" s="23">
        <f>28155530372.3</f>
        <v>28155530372.299999</v>
      </c>
      <c r="D9" s="23">
        <f>7039828769.37</f>
        <v>7039828769.3699999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5.0267814368677932</v>
      </c>
      <c r="K9" s="35">
        <f t="shared" si="1"/>
        <v>25.003360534440265</v>
      </c>
      <c r="L9" s="35">
        <f t="shared" si="2"/>
        <v>6.6844948437622707</v>
      </c>
    </row>
    <row r="10" spans="2:13" outlineLevel="1" x14ac:dyDescent="0.2">
      <c r="B10" s="31" t="s">
        <v>108</v>
      </c>
      <c r="C10" s="23">
        <f>36641244195.47</f>
        <v>36641244195.470001</v>
      </c>
      <c r="D10" s="23">
        <f>11010814246.26</f>
        <v>11010814246.26</v>
      </c>
      <c r="E10" s="23">
        <f>903712472.52</f>
        <v>903712472.51999998</v>
      </c>
      <c r="F10" s="23">
        <f>237531853.13</f>
        <v>237531853.13</v>
      </c>
      <c r="G10" s="23">
        <f>21712019.52</f>
        <v>21712019.52</v>
      </c>
      <c r="H10" s="23">
        <f>65722279.72</f>
        <v>65722279.719999999</v>
      </c>
      <c r="I10" s="24">
        <f>542667.72</f>
        <v>542667.72</v>
      </c>
      <c r="J10" s="35">
        <f t="shared" si="0"/>
        <v>7.8622589371378178</v>
      </c>
      <c r="K10" s="35">
        <f t="shared" si="1"/>
        <v>30.050328497363854</v>
      </c>
      <c r="L10" s="35">
        <f t="shared" si="2"/>
        <v>10.455045636193194</v>
      </c>
    </row>
    <row r="11" spans="2:13" outlineLevel="1" x14ac:dyDescent="0.2">
      <c r="B11" s="31" t="s">
        <v>109</v>
      </c>
      <c r="C11" s="23">
        <f>2281087585.41</f>
        <v>2281087585.4099998</v>
      </c>
      <c r="D11" s="23">
        <f>939703980.3</f>
        <v>939703980.29999995</v>
      </c>
      <c r="E11" s="23">
        <f>95010655.89</f>
        <v>95010655.890000001</v>
      </c>
      <c r="F11" s="23">
        <f>1111631.14</f>
        <v>1111631.1399999999</v>
      </c>
      <c r="G11" s="23">
        <f>834546.24</f>
        <v>834546.24</v>
      </c>
      <c r="H11" s="23">
        <f>1298825.45</f>
        <v>1298825.45</v>
      </c>
      <c r="I11" s="24">
        <f>1336.56</f>
        <v>1336.56</v>
      </c>
      <c r="J11" s="35">
        <f t="shared" si="0"/>
        <v>0.67099451976380164</v>
      </c>
      <c r="K11" s="35">
        <f t="shared" si="1"/>
        <v>41.195436173096297</v>
      </c>
      <c r="L11" s="35">
        <f t="shared" si="2"/>
        <v>0.8922726129800973</v>
      </c>
    </row>
    <row r="12" spans="2:13" outlineLevel="1" x14ac:dyDescent="0.2">
      <c r="B12" s="31" t="s">
        <v>110</v>
      </c>
      <c r="C12" s="23">
        <f>457956194.17</f>
        <v>457956194.17000002</v>
      </c>
      <c r="D12" s="23">
        <f>143626659.21</f>
        <v>143626659.21000001</v>
      </c>
      <c r="E12" s="23">
        <f>1588048.45</f>
        <v>1588048.45</v>
      </c>
      <c r="F12" s="23">
        <f>293547.12</f>
        <v>293547.12</v>
      </c>
      <c r="G12" s="23">
        <f>37574.35</f>
        <v>37574.35</v>
      </c>
      <c r="H12" s="23">
        <f>114425.21</f>
        <v>114425.21</v>
      </c>
      <c r="I12" s="24">
        <f>1.6</f>
        <v>1.6</v>
      </c>
      <c r="J12" s="35">
        <f t="shared" si="0"/>
        <v>0.10255644675584562</v>
      </c>
      <c r="K12" s="35">
        <f t="shared" si="1"/>
        <v>31.362532276762632</v>
      </c>
      <c r="L12" s="35">
        <f t="shared" si="2"/>
        <v>0.136377132792388</v>
      </c>
    </row>
    <row r="13" spans="2:13" outlineLevel="1" x14ac:dyDescent="0.2">
      <c r="B13" s="31" t="s">
        <v>19</v>
      </c>
      <c r="C13" s="23">
        <f>1538711350.31</f>
        <v>1538711350.3099999</v>
      </c>
      <c r="D13" s="23">
        <f>696458664.44</f>
        <v>696458664.44000006</v>
      </c>
      <c r="E13" s="23">
        <f>605474141</f>
        <v>605474141</v>
      </c>
      <c r="F13" s="23">
        <f>2019482.5</f>
        <v>2019482.5</v>
      </c>
      <c r="G13" s="23">
        <f>985895.21</f>
        <v>985895.21</v>
      </c>
      <c r="H13" s="23">
        <f>5754932.34</f>
        <v>5754932.3399999999</v>
      </c>
      <c r="I13" s="24">
        <f>37348</f>
        <v>37348</v>
      </c>
      <c r="J13" s="35">
        <f t="shared" si="0"/>
        <v>0.49730548862000656</v>
      </c>
      <c r="K13" s="35">
        <f t="shared" si="1"/>
        <v>45.262463573800659</v>
      </c>
      <c r="L13" s="35">
        <f t="shared" si="2"/>
        <v>0.66130505497498904</v>
      </c>
    </row>
    <row r="14" spans="2:13" outlineLevel="1" x14ac:dyDescent="0.2">
      <c r="B14" s="31" t="s">
        <v>24</v>
      </c>
      <c r="C14" s="23">
        <f>3706078671.1</f>
        <v>3706078671.0999999</v>
      </c>
      <c r="D14" s="23">
        <f>993129130.3</f>
        <v>993129130.29999995</v>
      </c>
      <c r="E14" s="23">
        <f>0</f>
        <v>0</v>
      </c>
      <c r="F14" s="23">
        <f>0</f>
        <v>0</v>
      </c>
      <c r="G14" s="23">
        <f>24738</f>
        <v>24738</v>
      </c>
      <c r="H14" s="23">
        <f>433036.45</f>
        <v>433036.45</v>
      </c>
      <c r="I14" s="24">
        <f>0</f>
        <v>0</v>
      </c>
      <c r="J14" s="35">
        <f t="shared" si="0"/>
        <v>0.70914268516384038</v>
      </c>
      <c r="K14" s="35">
        <f t="shared" si="1"/>
        <v>26.797302983458515</v>
      </c>
      <c r="L14" s="35">
        <f t="shared" si="2"/>
        <v>0.94300113939767727</v>
      </c>
    </row>
    <row r="15" spans="2:13" ht="22.5" outlineLevel="1" x14ac:dyDescent="0.2">
      <c r="B15" s="31" t="s">
        <v>111</v>
      </c>
      <c r="C15" s="23">
        <f>182504531.46</f>
        <v>182504531.46000001</v>
      </c>
      <c r="D15" s="23">
        <f>25687488.47</f>
        <v>25687488.469999999</v>
      </c>
      <c r="E15" s="23">
        <f>0</f>
        <v>0</v>
      </c>
      <c r="F15" s="23">
        <f>0</f>
        <v>0</v>
      </c>
      <c r="G15" s="23">
        <f>1896</f>
        <v>1896</v>
      </c>
      <c r="H15" s="23">
        <f>120086.41</f>
        <v>120086.41</v>
      </c>
      <c r="I15" s="24">
        <f>0</f>
        <v>0</v>
      </c>
      <c r="J15" s="35">
        <f t="shared" si="0"/>
        <v>1.8342120871259061E-2</v>
      </c>
      <c r="K15" s="35">
        <f t="shared" si="1"/>
        <v>14.074986667183106</v>
      </c>
      <c r="L15" s="35">
        <f t="shared" si="2"/>
        <v>2.4390917712943758E-2</v>
      </c>
    </row>
    <row r="16" spans="2:13" outlineLevel="1" x14ac:dyDescent="0.2">
      <c r="B16" s="31" t="s">
        <v>112</v>
      </c>
      <c r="C16" s="23">
        <f>665107544.09</f>
        <v>665107544.09000003</v>
      </c>
      <c r="D16" s="23">
        <f>165869406.1</f>
        <v>165869406.09999999</v>
      </c>
      <c r="E16" s="23">
        <f>0</f>
        <v>0</v>
      </c>
      <c r="F16" s="23">
        <f>0</f>
        <v>0</v>
      </c>
      <c r="G16" s="23">
        <f>423</f>
        <v>423</v>
      </c>
      <c r="H16" s="23">
        <f>111</f>
        <v>111</v>
      </c>
      <c r="I16" s="24">
        <f>0</f>
        <v>0</v>
      </c>
      <c r="J16" s="35">
        <f t="shared" si="0"/>
        <v>0.1184388539612707</v>
      </c>
      <c r="K16" s="35">
        <f t="shared" si="1"/>
        <v>24.938734731530143</v>
      </c>
      <c r="L16" s="35">
        <f t="shared" si="2"/>
        <v>0.15749718155610529</v>
      </c>
    </row>
    <row r="17" spans="2:12" outlineLevel="1" x14ac:dyDescent="0.2">
      <c r="B17" s="31" t="s">
        <v>25</v>
      </c>
      <c r="C17" s="23">
        <f>483420864.13</f>
        <v>483420864.13</v>
      </c>
      <c r="D17" s="23">
        <f>255740433.57</f>
        <v>255740433.56999999</v>
      </c>
      <c r="E17" s="23">
        <f>0</f>
        <v>0</v>
      </c>
      <c r="F17" s="23">
        <f>0</f>
        <v>0</v>
      </c>
      <c r="G17" s="23">
        <f>0</f>
        <v>0</v>
      </c>
      <c r="H17" s="23">
        <f>135585.1</f>
        <v>135585.1</v>
      </c>
      <c r="I17" s="24">
        <f>0</f>
        <v>0</v>
      </c>
      <c r="J17" s="35">
        <f t="shared" si="0"/>
        <v>0.18261115522007818</v>
      </c>
      <c r="K17" s="35">
        <f t="shared" si="1"/>
        <v>52.902233342834599</v>
      </c>
      <c r="L17" s="35">
        <f t="shared" si="2"/>
        <v>0.24283198718953738</v>
      </c>
    </row>
    <row r="18" spans="2:12" outlineLevel="1" x14ac:dyDescent="0.2">
      <c r="B18" s="31" t="s">
        <v>113</v>
      </c>
      <c r="C18" s="23">
        <f>524104323.84</f>
        <v>524104323.83999997</v>
      </c>
      <c r="D18" s="23">
        <f>155897324.68</f>
        <v>155897324.68000001</v>
      </c>
      <c r="E18" s="23">
        <f>0</f>
        <v>0</v>
      </c>
      <c r="F18" s="23">
        <f>0</f>
        <v>0</v>
      </c>
      <c r="G18" s="23">
        <f>1570485.32</f>
        <v>1570485.32</v>
      </c>
      <c r="H18" s="23">
        <f>5194774.59</f>
        <v>5194774.59</v>
      </c>
      <c r="I18" s="24">
        <f>0</f>
        <v>0</v>
      </c>
      <c r="J18" s="35">
        <f t="shared" si="0"/>
        <v>0.11131830097465649</v>
      </c>
      <c r="K18" s="35">
        <f t="shared" si="1"/>
        <v>29.745475774321751</v>
      </c>
      <c r="L18" s="35">
        <f t="shared" si="2"/>
        <v>0.14802843891798956</v>
      </c>
    </row>
    <row r="19" spans="2:12" outlineLevel="1" x14ac:dyDescent="0.2">
      <c r="B19" s="31" t="s">
        <v>26</v>
      </c>
      <c r="C19" s="23">
        <f>127234999.43</f>
        <v>127234999.43000001</v>
      </c>
      <c r="D19" s="23">
        <f>18718855.14</f>
        <v>18718855.140000001</v>
      </c>
      <c r="E19" s="23">
        <f>217929.17</f>
        <v>217929.17</v>
      </c>
      <c r="F19" s="23">
        <f>0</f>
        <v>0</v>
      </c>
      <c r="G19" s="23">
        <f>0</f>
        <v>0</v>
      </c>
      <c r="H19" s="23">
        <f>156145.92</f>
        <v>156145.92000000001</v>
      </c>
      <c r="I19" s="24">
        <f>0</f>
        <v>0</v>
      </c>
      <c r="J19" s="35">
        <f t="shared" si="0"/>
        <v>1.3366176453975025E-2</v>
      </c>
      <c r="K19" s="35">
        <f>IF(C19=0,"",100*D19/C19)</f>
        <v>14.712033028536634</v>
      </c>
      <c r="L19" s="35">
        <f t="shared" si="2"/>
        <v>1.7774024733226645E-2</v>
      </c>
    </row>
    <row r="20" spans="2:12" outlineLevel="1" x14ac:dyDescent="0.2">
      <c r="B20" s="31" t="s">
        <v>114</v>
      </c>
      <c r="C20" s="23">
        <f>76396199.68</f>
        <v>76396199.680000007</v>
      </c>
      <c r="D20" s="23">
        <f>13098205.57</f>
        <v>13098205.57</v>
      </c>
      <c r="E20" s="23">
        <f>77379.22</f>
        <v>77379.22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9.3527582520230197E-3</v>
      </c>
      <c r="K20" s="35">
        <f>IF(C20=0,"",100*D20/C20)</f>
        <v>17.145100966886208</v>
      </c>
      <c r="L20" s="35">
        <f t="shared" si="2"/>
        <v>1.2437076307331636E-2</v>
      </c>
    </row>
    <row r="21" spans="2:12" outlineLevel="1" x14ac:dyDescent="0.2">
      <c r="B21" s="31" t="s">
        <v>115</v>
      </c>
      <c r="C21" s="23">
        <f>128355955</f>
        <v>128355955</v>
      </c>
      <c r="D21" s="23">
        <f>24375338.87</f>
        <v>24375338.870000001</v>
      </c>
      <c r="E21" s="23">
        <f>143897.06</f>
        <v>143897.06</v>
      </c>
      <c r="F21" s="23">
        <f>0</f>
        <v>0</v>
      </c>
      <c r="G21" s="23">
        <f>0</f>
        <v>0</v>
      </c>
      <c r="H21" s="23">
        <f>0</f>
        <v>0</v>
      </c>
      <c r="I21" s="24">
        <f>0</f>
        <v>0</v>
      </c>
      <c r="J21" s="35">
        <f t="shared" si="0"/>
        <v>1.7405181995647209E-2</v>
      </c>
      <c r="K21" s="35">
        <f>IF(C21=0,"",100*D21/C21)</f>
        <v>18.990423054388089</v>
      </c>
      <c r="L21" s="35">
        <f t="shared" si="2"/>
        <v>2.3144998597182415E-2</v>
      </c>
    </row>
    <row r="22" spans="2:12" outlineLevel="1" x14ac:dyDescent="0.2">
      <c r="B22" s="31" t="s">
        <v>116</v>
      </c>
      <c r="C22" s="23">
        <f>3596937</f>
        <v>3596937</v>
      </c>
      <c r="D22" s="23">
        <f>1833078.88</f>
        <v>1833078.88</v>
      </c>
      <c r="E22" s="23">
        <f>817329.69</f>
        <v>817329.69</v>
      </c>
      <c r="F22" s="23">
        <f>0</f>
        <v>0</v>
      </c>
      <c r="G22" s="23">
        <f>0</f>
        <v>0</v>
      </c>
      <c r="H22" s="23">
        <f>0</f>
        <v>0</v>
      </c>
      <c r="I22" s="24">
        <f>0</f>
        <v>0</v>
      </c>
      <c r="J22" s="35">
        <f t="shared" si="0"/>
        <v>1.3089078141204585E-3</v>
      </c>
      <c r="K22" s="35">
        <f>IF(C22=0,"",100*D22/C22)</f>
        <v>50.962218131704837</v>
      </c>
      <c r="L22" s="35">
        <f t="shared" si="2"/>
        <v>1.7405545962826121E-3</v>
      </c>
    </row>
    <row r="23" spans="2:12" outlineLevel="1" x14ac:dyDescent="0.2">
      <c r="B23" s="31" t="s">
        <v>117</v>
      </c>
      <c r="C23" s="23">
        <f>1704175</f>
        <v>1704175</v>
      </c>
      <c r="D23" s="23">
        <f>756868.96</f>
        <v>756868.96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4">
        <f>0</f>
        <v>0</v>
      </c>
      <c r="J23" s="35">
        <f t="shared" si="0"/>
        <v>5.4044138897570235E-4</v>
      </c>
      <c r="K23" s="35">
        <f>IF(C23=0,"",100*D23/C23)</f>
        <v>44.412631331876128</v>
      </c>
      <c r="L23" s="35">
        <f t="shared" si="2"/>
        <v>7.1866615315083465E-4</v>
      </c>
    </row>
    <row r="24" spans="2:12" outlineLevel="1" x14ac:dyDescent="0.2">
      <c r="B24" s="31" t="s">
        <v>20</v>
      </c>
      <c r="C24" s="23">
        <f>11403108584.05</f>
        <v>11403108584.049999</v>
      </c>
      <c r="D24" s="23">
        <f>2382259256.75</f>
        <v>2382259256.75</v>
      </c>
      <c r="E24" s="23">
        <f>0</f>
        <v>0</v>
      </c>
      <c r="F24" s="23">
        <f>0</f>
        <v>0</v>
      </c>
      <c r="G24" s="23">
        <f>20986.65</f>
        <v>20986.65</v>
      </c>
      <c r="H24" s="23">
        <f>2082.95</f>
        <v>2082.9499999999998</v>
      </c>
      <c r="I24" s="24">
        <f>0</f>
        <v>0</v>
      </c>
      <c r="J24" s="35">
        <f t="shared" si="0"/>
        <v>1.7010494149716409</v>
      </c>
      <c r="K24" s="35">
        <f t="shared" si="1"/>
        <v>20.891314321799626</v>
      </c>
      <c r="L24" s="35">
        <f t="shared" si="2"/>
        <v>2.2620152051901945</v>
      </c>
    </row>
    <row r="25" spans="2:12" outlineLevel="1" x14ac:dyDescent="0.2">
      <c r="B25" s="31" t="s">
        <v>21</v>
      </c>
      <c r="C25" s="23">
        <f>C7-C8-C9-C10-C11-C12-C13-C14-C15-C16-C17-C18-C19-C20-C21-C22-C23-C24</f>
        <v>54600559907.090042</v>
      </c>
      <c r="D25" s="23">
        <f t="shared" ref="D25:I25" si="3">D7-D8-D9-D10-D11-D12-D13-D14-D15-D16-D17-D18-D19-D20-D21-D22-D23-D24</f>
        <v>14724749329.73</v>
      </c>
      <c r="E25" s="23">
        <f t="shared" si="3"/>
        <v>6826280.2699999679</v>
      </c>
      <c r="F25" s="23">
        <f t="shared" si="3"/>
        <v>-9.3132257461547852E-9</v>
      </c>
      <c r="G25" s="23">
        <f t="shared" si="3"/>
        <v>5129036.580000001</v>
      </c>
      <c r="H25" s="23">
        <f t="shared" si="3"/>
        <v>11306595.730000008</v>
      </c>
      <c r="I25" s="23">
        <f t="shared" si="3"/>
        <v>13550.059999999976</v>
      </c>
      <c r="J25" s="35">
        <f t="shared" si="0"/>
        <v>10.51418990690056</v>
      </c>
      <c r="K25" s="35">
        <f t="shared" si="1"/>
        <v>26.968128815503132</v>
      </c>
      <c r="L25" s="35">
        <f t="shared" si="2"/>
        <v>13.981520601541632</v>
      </c>
    </row>
    <row r="26" spans="2:12" ht="25.5" x14ac:dyDescent="0.2">
      <c r="B26" s="76" t="s">
        <v>89</v>
      </c>
      <c r="C26" s="57">
        <f>C27+C46+C48</f>
        <v>96408563444.299988</v>
      </c>
      <c r="D26" s="57">
        <f>D27+D46+D48</f>
        <v>18144943329.32</v>
      </c>
      <c r="E26" s="59" t="s">
        <v>45</v>
      </c>
      <c r="F26" s="59" t="s">
        <v>45</v>
      </c>
      <c r="G26" s="59" t="s">
        <v>45</v>
      </c>
      <c r="H26" s="59" t="s">
        <v>45</v>
      </c>
      <c r="I26" s="59" t="s">
        <v>45</v>
      </c>
      <c r="J26" s="58">
        <f t="shared" si="0"/>
        <v>12.956375401870233</v>
      </c>
      <c r="K26" s="58">
        <f t="shared" si="1"/>
        <v>18.820883416443845</v>
      </c>
      <c r="L26" s="60"/>
    </row>
    <row r="27" spans="2:12" ht="25.5" outlineLevel="1" x14ac:dyDescent="0.2">
      <c r="B27" s="81" t="s">
        <v>47</v>
      </c>
      <c r="C27" s="57">
        <f>C28+C30+C32+C34+C36+C38+C40+C42+C44</f>
        <v>70171584302.789993</v>
      </c>
      <c r="D27" s="57">
        <f>D28+D30+D32+D34+D36+D38+D40+D42+D44</f>
        <v>15330955853.650002</v>
      </c>
      <c r="E27" s="59" t="s">
        <v>45</v>
      </c>
      <c r="F27" s="59" t="s">
        <v>45</v>
      </c>
      <c r="G27" s="59" t="s">
        <v>45</v>
      </c>
      <c r="H27" s="59" t="s">
        <v>45</v>
      </c>
      <c r="I27" s="59" t="s">
        <v>45</v>
      </c>
      <c r="J27" s="58">
        <f t="shared" si="0"/>
        <v>10.947050960937521</v>
      </c>
      <c r="K27" s="58">
        <f t="shared" si="1"/>
        <v>21.847812053803736</v>
      </c>
      <c r="L27" s="60"/>
    </row>
    <row r="28" spans="2:12" outlineLevel="1" x14ac:dyDescent="0.2">
      <c r="B28" s="80" t="s">
        <v>9</v>
      </c>
      <c r="C28" s="24">
        <f>24440649446.4</f>
        <v>24440649446.400002</v>
      </c>
      <c r="D28" s="24">
        <f>8463752656.67</f>
        <v>8463752656.6700001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6.0435326106087448</v>
      </c>
      <c r="K28" s="35">
        <f t="shared" si="1"/>
        <v>34.629818963000893</v>
      </c>
      <c r="L28" s="30"/>
    </row>
    <row r="29" spans="2:12" outlineLevel="1" x14ac:dyDescent="0.2">
      <c r="B29" s="82" t="s">
        <v>6</v>
      </c>
      <c r="C29" s="24">
        <f>259675828.61</f>
        <v>259675828.61000001</v>
      </c>
      <c r="D29" s="24">
        <f>25686446.56</f>
        <v>25686446.559999999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1.8341376896651371E-2</v>
      </c>
      <c r="K29" s="35">
        <f t="shared" si="1"/>
        <v>9.8917356680809014</v>
      </c>
      <c r="L29" s="30"/>
    </row>
    <row r="30" spans="2:12" outlineLevel="1" x14ac:dyDescent="0.2">
      <c r="B30" s="80" t="s">
        <v>7</v>
      </c>
      <c r="C30" s="24">
        <f>8185477125.67</f>
        <v>8185477125.6700001</v>
      </c>
      <c r="D30" s="24">
        <f>1661649520.41</f>
        <v>1661649520.4100001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1.1864988819216342</v>
      </c>
      <c r="K30" s="35">
        <f t="shared" si="1"/>
        <v>20.299971460417346</v>
      </c>
      <c r="L30" s="30"/>
    </row>
    <row r="31" spans="2:12" outlineLevel="1" x14ac:dyDescent="0.2">
      <c r="B31" s="82" t="s">
        <v>6</v>
      </c>
      <c r="C31" s="24">
        <f>1528824110.24</f>
        <v>1528824110.24</v>
      </c>
      <c r="D31" s="24">
        <f>92810363.22</f>
        <v>92810363.219999999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6.6271130487312147E-2</v>
      </c>
      <c r="K31" s="35">
        <f t="shared" si="1"/>
        <v>6.0707024829318206</v>
      </c>
      <c r="L31" s="30"/>
    </row>
    <row r="32" spans="2:12" ht="22.5" outlineLevel="1" x14ac:dyDescent="0.2">
      <c r="B32" s="80" t="s">
        <v>10</v>
      </c>
      <c r="C32" s="24">
        <f>317651886.43</f>
        <v>317651886.43000001</v>
      </c>
      <c r="D32" s="24">
        <f>61863869.61</f>
        <v>61863869.609999999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4.4173823193172222E-2</v>
      </c>
      <c r="K32" s="35">
        <f t="shared" si="1"/>
        <v>19.475366667980659</v>
      </c>
      <c r="L32" s="30"/>
    </row>
    <row r="33" spans="2:12" outlineLevel="1" x14ac:dyDescent="0.2">
      <c r="B33" s="82" t="s">
        <v>6</v>
      </c>
      <c r="C33" s="24">
        <f>46061588.88</f>
        <v>46061588.880000003</v>
      </c>
      <c r="D33" s="24">
        <f>5225839.2</f>
        <v>5225839.2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3.7315043225073902E-3</v>
      </c>
      <c r="K33" s="35">
        <f t="shared" si="1"/>
        <v>11.345329866093842</v>
      </c>
      <c r="L33" s="30"/>
    </row>
    <row r="34" spans="2:12" ht="22.5" outlineLevel="1" x14ac:dyDescent="0.2">
      <c r="B34" s="80" t="s">
        <v>11</v>
      </c>
      <c r="C34" s="24">
        <f>2217663659.66</f>
        <v>2217663659.6599998</v>
      </c>
      <c r="D34" s="24">
        <f>452810767.32</f>
        <v>452810767.31999999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0.32332899480191968</v>
      </c>
      <c r="K34" s="35">
        <f t="shared" si="1"/>
        <v>20.418369816702615</v>
      </c>
      <c r="L34" s="30"/>
    </row>
    <row r="35" spans="2:12" outlineLevel="1" x14ac:dyDescent="0.2">
      <c r="B35" s="82" t="s">
        <v>6</v>
      </c>
      <c r="C35" s="24">
        <f>327299401.85</f>
        <v>327299401.85000002</v>
      </c>
      <c r="D35" s="24">
        <f>14624702.41</f>
        <v>14624702.41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1.0442751521765012E-2</v>
      </c>
      <c r="K35" s="35">
        <f t="shared" si="1"/>
        <v>4.4682948784313519</v>
      </c>
      <c r="L35" s="30"/>
    </row>
    <row r="36" spans="2:12" ht="22.5" outlineLevel="1" x14ac:dyDescent="0.2">
      <c r="B36" s="80" t="s">
        <v>65</v>
      </c>
      <c r="C36" s="24">
        <f>2235484409.77</f>
        <v>2235484409.77</v>
      </c>
      <c r="D36" s="24">
        <f>326746531.68</f>
        <v>326746531.68000001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0.23331297590025693</v>
      </c>
      <c r="K36" s="35">
        <f t="shared" si="1"/>
        <v>14.616363695133872</v>
      </c>
      <c r="L36" s="30"/>
    </row>
    <row r="37" spans="2:12" outlineLevel="1" x14ac:dyDescent="0.2">
      <c r="B37" s="82" t="s">
        <v>6</v>
      </c>
      <c r="C37" s="24">
        <f>1881100759.16</f>
        <v>1881100759.1600001</v>
      </c>
      <c r="D37" s="24">
        <f>228805190.09</f>
        <v>228805190.09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0.16337807635431265</v>
      </c>
      <c r="K37" s="35">
        <f t="shared" si="1"/>
        <v>12.163367059198482</v>
      </c>
      <c r="L37" s="30"/>
    </row>
    <row r="38" spans="2:12" outlineLevel="1" x14ac:dyDescent="0.2">
      <c r="B38" s="80" t="s">
        <v>8</v>
      </c>
      <c r="C38" s="24">
        <f>982982992.07</f>
        <v>982982992.07000005</v>
      </c>
      <c r="D38" s="24">
        <f>85126195.31</f>
        <v>85126195.310000002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6.0784259446381994E-2</v>
      </c>
      <c r="K38" s="35">
        <f t="shared" si="1"/>
        <v>8.659986591501271</v>
      </c>
      <c r="L38" s="30"/>
    </row>
    <row r="39" spans="2:12" outlineLevel="1" x14ac:dyDescent="0.2">
      <c r="B39" s="82" t="s">
        <v>6</v>
      </c>
      <c r="C39" s="24">
        <f>889602607.47</f>
        <v>889602607.47000003</v>
      </c>
      <c r="D39" s="24">
        <f>47153739.32</f>
        <v>47153739.32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3.3670071994363449E-2</v>
      </c>
      <c r="K39" s="35">
        <f t="shared" si="1"/>
        <v>5.3005396931224888</v>
      </c>
      <c r="L39" s="30"/>
    </row>
    <row r="40" spans="2:12" ht="33.75" outlineLevel="1" x14ac:dyDescent="0.2">
      <c r="B40" s="80" t="s">
        <v>82</v>
      </c>
      <c r="C40" s="24">
        <f>11383238.29</f>
        <v>11383238.289999999</v>
      </c>
      <c r="D40" s="24">
        <f>0</f>
        <v>0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0</v>
      </c>
      <c r="K40" s="35">
        <f t="shared" si="1"/>
        <v>0</v>
      </c>
      <c r="L40" s="30"/>
    </row>
    <row r="41" spans="2:12" outlineLevel="1" x14ac:dyDescent="0.2">
      <c r="B41" s="82" t="s">
        <v>80</v>
      </c>
      <c r="C41" s="24">
        <f>10823238.29</f>
        <v>10823238.289999999</v>
      </c>
      <c r="D41" s="24">
        <f>0</f>
        <v>0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0</v>
      </c>
      <c r="K41" s="35">
        <f t="shared" si="1"/>
        <v>0</v>
      </c>
      <c r="L41" s="30"/>
    </row>
    <row r="42" spans="2:12" ht="33.75" outlineLevel="1" x14ac:dyDescent="0.2">
      <c r="B42" s="83" t="s">
        <v>79</v>
      </c>
      <c r="C42" s="24">
        <f>30555521637.88</f>
        <v>30555521637.880001</v>
      </c>
      <c r="D42" s="24">
        <f>3302564692.54</f>
        <v>3302564692.54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2.358192426887781</v>
      </c>
      <c r="K42" s="35">
        <f t="shared" si="1"/>
        <v>10.808405536908838</v>
      </c>
      <c r="L42" s="30"/>
    </row>
    <row r="43" spans="2:12" outlineLevel="1" x14ac:dyDescent="0.2">
      <c r="B43" s="84" t="s">
        <v>6</v>
      </c>
      <c r="C43" s="24">
        <f>30449139655.47</f>
        <v>30449139655.470001</v>
      </c>
      <c r="D43" s="24">
        <f>3245482598.48</f>
        <v>3245482598.48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2.317433024891129</v>
      </c>
      <c r="K43" s="35">
        <f t="shared" si="1"/>
        <v>10.658700492698383</v>
      </c>
      <c r="L43" s="30"/>
    </row>
    <row r="44" spans="2:12" ht="22.5" outlineLevel="1" x14ac:dyDescent="0.2">
      <c r="B44" s="83" t="s">
        <v>90</v>
      </c>
      <c r="C44" s="24">
        <f>1224769906.62</f>
        <v>1224769906.6199999</v>
      </c>
      <c r="D44" s="24">
        <f>976441620.11</f>
        <v>976441620.11000001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0.69722698817762785</v>
      </c>
      <c r="K44" s="35">
        <f t="shared" si="1"/>
        <v>79.724494766914063</v>
      </c>
      <c r="L44" s="30"/>
    </row>
    <row r="45" spans="2:12" outlineLevel="1" x14ac:dyDescent="0.2">
      <c r="B45" s="84" t="s">
        <v>6</v>
      </c>
      <c r="C45" s="24">
        <f>933073.55</f>
        <v>933073.55</v>
      </c>
      <c r="D45" s="24">
        <f>33975.55</f>
        <v>33975.550000000003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2.4260201439907677E-5</v>
      </c>
      <c r="K45" s="35">
        <f t="shared" si="1"/>
        <v>3.6412510032033385</v>
      </c>
      <c r="L45" s="30"/>
    </row>
    <row r="46" spans="2:12" outlineLevel="1" x14ac:dyDescent="0.2">
      <c r="B46" s="81" t="s">
        <v>57</v>
      </c>
      <c r="C46" s="57">
        <f>2936355786.54</f>
        <v>2936355786.54</v>
      </c>
      <c r="D46" s="57">
        <f>452390395.38</f>
        <v>452390395.38</v>
      </c>
      <c r="E46" s="59" t="s">
        <v>45</v>
      </c>
      <c r="F46" s="59" t="s">
        <v>45</v>
      </c>
      <c r="G46" s="59" t="s">
        <v>45</v>
      </c>
      <c r="H46" s="59" t="s">
        <v>45</v>
      </c>
      <c r="I46" s="59" t="s">
        <v>45</v>
      </c>
      <c r="J46" s="58">
        <f t="shared" si="0"/>
        <v>0.32302882871353894</v>
      </c>
      <c r="K46" s="58">
        <f t="shared" si="1"/>
        <v>15.406525239676959</v>
      </c>
      <c r="L46" s="30"/>
    </row>
    <row r="47" spans="2:12" outlineLevel="1" x14ac:dyDescent="0.2">
      <c r="B47" s="87" t="s">
        <v>58</v>
      </c>
      <c r="C47" s="23">
        <f>1446205074.39</f>
        <v>1446205074.3900001</v>
      </c>
      <c r="D47" s="23">
        <f>116828156.08</f>
        <v>116828156.08</v>
      </c>
      <c r="E47" s="23" t="s">
        <v>45</v>
      </c>
      <c r="F47" s="23" t="s">
        <v>45</v>
      </c>
      <c r="G47" s="23" t="s">
        <v>45</v>
      </c>
      <c r="H47" s="23" t="s">
        <v>45</v>
      </c>
      <c r="I47" s="23" t="s">
        <v>45</v>
      </c>
      <c r="J47" s="35">
        <f t="shared" si="0"/>
        <v>8.3421007175859541E-2</v>
      </c>
      <c r="K47" s="35">
        <f t="shared" si="1"/>
        <v>8.0782565452743516</v>
      </c>
      <c r="L47" s="30"/>
    </row>
    <row r="48" spans="2:12" outlineLevel="1" x14ac:dyDescent="0.2">
      <c r="B48" s="81" t="s">
        <v>70</v>
      </c>
      <c r="C48" s="57">
        <f>23300623354.97</f>
        <v>23300623354.970001</v>
      </c>
      <c r="D48" s="57">
        <f>2361597080.29</f>
        <v>2361597080.29</v>
      </c>
      <c r="E48" s="59" t="s">
        <v>45</v>
      </c>
      <c r="F48" s="59" t="s">
        <v>45</v>
      </c>
      <c r="G48" s="59" t="s">
        <v>45</v>
      </c>
      <c r="H48" s="59" t="s">
        <v>45</v>
      </c>
      <c r="I48" s="59" t="s">
        <v>45</v>
      </c>
      <c r="J48" s="58">
        <f t="shared" si="0"/>
        <v>1.6862956122191757</v>
      </c>
      <c r="K48" s="58">
        <f t="shared" si="1"/>
        <v>10.13533863155757</v>
      </c>
      <c r="L48" s="30"/>
    </row>
    <row r="49" spans="1:26" outlineLevel="1" x14ac:dyDescent="0.2">
      <c r="B49" s="87" t="s">
        <v>71</v>
      </c>
      <c r="C49" s="23">
        <f>17741081890.34</f>
        <v>17741081890.34</v>
      </c>
      <c r="D49" s="23">
        <f>1152270923.4</f>
        <v>1152270923.4000001</v>
      </c>
      <c r="E49" s="23" t="s">
        <v>45</v>
      </c>
      <c r="F49" s="23" t="s">
        <v>45</v>
      </c>
      <c r="G49" s="23" t="s">
        <v>45</v>
      </c>
      <c r="H49" s="23" t="s">
        <v>45</v>
      </c>
      <c r="I49" s="23" t="s">
        <v>45</v>
      </c>
      <c r="J49" s="35">
        <f t="shared" si="0"/>
        <v>0.82277769499043951</v>
      </c>
      <c r="K49" s="35">
        <f t="shared" si="1"/>
        <v>6.4949304136148003</v>
      </c>
      <c r="L49" s="30"/>
    </row>
    <row r="50" spans="1:26" x14ac:dyDescent="0.2">
      <c r="B50" s="76" t="s">
        <v>102</v>
      </c>
      <c r="C50" s="57">
        <f>48346001332.91</f>
        <v>48346001332.910004</v>
      </c>
      <c r="D50" s="57">
        <f>16585709797.05</f>
        <v>16585709797.049999</v>
      </c>
      <c r="E50" s="59" t="s">
        <v>45</v>
      </c>
      <c r="F50" s="59" t="s">
        <v>45</v>
      </c>
      <c r="G50" s="59" t="s">
        <v>45</v>
      </c>
      <c r="H50" s="59" t="s">
        <v>45</v>
      </c>
      <c r="I50" s="59" t="s">
        <v>45</v>
      </c>
      <c r="J50" s="58">
        <f t="shared" si="0"/>
        <v>11.843006535590542</v>
      </c>
      <c r="K50" s="58">
        <f t="shared" si="1"/>
        <v>34.306270094275213</v>
      </c>
      <c r="L50" s="30"/>
    </row>
    <row r="51" spans="1:26" outlineLevel="1" x14ac:dyDescent="0.2">
      <c r="B51" s="31" t="s">
        <v>35</v>
      </c>
      <c r="C51" s="23">
        <f>3430257</f>
        <v>3430257</v>
      </c>
      <c r="D51" s="23">
        <f>0</f>
        <v>0</v>
      </c>
      <c r="E51" s="23" t="s">
        <v>45</v>
      </c>
      <c r="F51" s="23" t="s">
        <v>45</v>
      </c>
      <c r="G51" s="23" t="s">
        <v>45</v>
      </c>
      <c r="H51" s="23" t="s">
        <v>45</v>
      </c>
      <c r="I51" s="23" t="s">
        <v>45</v>
      </c>
      <c r="J51" s="35">
        <f t="shared" si="0"/>
        <v>0</v>
      </c>
      <c r="K51" s="35">
        <f t="shared" si="1"/>
        <v>0</v>
      </c>
      <c r="L51" s="30"/>
    </row>
    <row r="52" spans="1:26" ht="22.5" outlineLevel="1" x14ac:dyDescent="0.2">
      <c r="B52" s="31" t="s">
        <v>103</v>
      </c>
      <c r="C52" s="23">
        <f>2306535677.66</f>
        <v>2306535677.6599998</v>
      </c>
      <c r="D52" s="23">
        <f>681386602.99</f>
        <v>681386602.99000001</v>
      </c>
      <c r="E52" s="23" t="s">
        <v>45</v>
      </c>
      <c r="F52" s="23" t="s">
        <v>45</v>
      </c>
      <c r="G52" s="23" t="s">
        <v>45</v>
      </c>
      <c r="H52" s="23" t="s">
        <v>45</v>
      </c>
      <c r="I52" s="23" t="s">
        <v>45</v>
      </c>
      <c r="J52" s="35">
        <f t="shared" si="0"/>
        <v>0.48654330090290798</v>
      </c>
      <c r="K52" s="35">
        <f t="shared" si="1"/>
        <v>29.541559213221124</v>
      </c>
      <c r="L52" s="30"/>
    </row>
    <row r="53" spans="1:26" outlineLevel="1" x14ac:dyDescent="0.2">
      <c r="B53" s="87" t="s">
        <v>6</v>
      </c>
      <c r="C53" s="23">
        <f>53139172.81</f>
        <v>53139172.810000002</v>
      </c>
      <c r="D53" s="23">
        <f>0</f>
        <v>0</v>
      </c>
      <c r="E53" s="23" t="s">
        <v>45</v>
      </c>
      <c r="F53" s="23" t="s">
        <v>45</v>
      </c>
      <c r="G53" s="23" t="s">
        <v>45</v>
      </c>
      <c r="H53" s="23" t="s">
        <v>45</v>
      </c>
      <c r="I53" s="23" t="s">
        <v>45</v>
      </c>
      <c r="J53" s="35">
        <f t="shared" si="0"/>
        <v>0</v>
      </c>
      <c r="K53" s="35">
        <f t="shared" si="1"/>
        <v>0</v>
      </c>
      <c r="L53" s="30"/>
    </row>
    <row r="54" spans="1:26" s="6" customForma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x14ac:dyDescent="0.2">
      <c r="A55" s="3"/>
      <c r="B55" s="61" t="s">
        <v>5</v>
      </c>
      <c r="C55" s="62">
        <f t="shared" ref="C55:I55" si="4">+C6</f>
        <v>459128464540</v>
      </c>
      <c r="D55" s="62">
        <f t="shared" si="4"/>
        <v>140046446374.97</v>
      </c>
      <c r="E55" s="62">
        <f t="shared" si="4"/>
        <v>1613868133.27</v>
      </c>
      <c r="F55" s="62">
        <f t="shared" si="4"/>
        <v>240956513.88999999</v>
      </c>
      <c r="G55" s="62">
        <f t="shared" si="4"/>
        <v>30317600.870000001</v>
      </c>
      <c r="H55" s="62">
        <f t="shared" si="4"/>
        <v>90238880.870000005</v>
      </c>
      <c r="I55" s="62">
        <f t="shared" si="4"/>
        <v>594903.93999999994</v>
      </c>
      <c r="J55" s="63">
        <f>IF($D$55=0,"",100*$D55/$D$55)</f>
        <v>100</v>
      </c>
      <c r="K55" s="63">
        <f>IF(C55=0,"",100*D55/C55)</f>
        <v>30.502671298169737</v>
      </c>
      <c r="L55" s="4"/>
    </row>
    <row r="56" spans="1:26" s="6" customFormat="1" x14ac:dyDescent="0.2">
      <c r="A56" s="3"/>
      <c r="B56" s="54" t="s">
        <v>60</v>
      </c>
      <c r="C56" s="55">
        <f>69061333199.6001</f>
        <v>69061333199.600098</v>
      </c>
      <c r="D56" s="55">
        <f>7014618233.83999</f>
        <v>7014618233.8399897</v>
      </c>
      <c r="E56" s="55">
        <f>0</f>
        <v>0</v>
      </c>
      <c r="F56" s="55">
        <f>0</f>
        <v>0</v>
      </c>
      <c r="G56" s="55">
        <f>0</f>
        <v>0</v>
      </c>
      <c r="H56" s="55">
        <f>0</f>
        <v>0</v>
      </c>
      <c r="I56" s="55">
        <f>0</f>
        <v>0</v>
      </c>
      <c r="J56" s="36">
        <f>IF($D$55=0,"",100*$D56/$D$55)</f>
        <v>5.0087798836812816</v>
      </c>
      <c r="K56" s="36">
        <f>IF(C56=0,"",100*D56/C56)</f>
        <v>10.157084882167622</v>
      </c>
      <c r="L56" s="4"/>
    </row>
    <row r="57" spans="1:26" s="6" customFormat="1" x14ac:dyDescent="0.2">
      <c r="A57" s="3"/>
      <c r="B57" s="54" t="s">
        <v>61</v>
      </c>
      <c r="C57" s="55">
        <f>+C55-C56</f>
        <v>390067131340.3999</v>
      </c>
      <c r="D57" s="55">
        <f t="shared" ref="D57:I57" si="5">+D55-D56</f>
        <v>133031828141.13</v>
      </c>
      <c r="E57" s="55">
        <f t="shared" si="5"/>
        <v>1613868133.27</v>
      </c>
      <c r="F57" s="55">
        <f t="shared" si="5"/>
        <v>240956513.88999999</v>
      </c>
      <c r="G57" s="55">
        <f t="shared" si="5"/>
        <v>30317600.870000001</v>
      </c>
      <c r="H57" s="55">
        <f t="shared" si="5"/>
        <v>90238880.870000005</v>
      </c>
      <c r="I57" s="55">
        <f t="shared" si="5"/>
        <v>594903.93999999994</v>
      </c>
      <c r="J57" s="36">
        <f>IF($D$55=0,"",100*$D57/$D$55)</f>
        <v>94.991220116318715</v>
      </c>
      <c r="K57" s="36">
        <f>IF(C57=0,"",100*D57/C57)</f>
        <v>34.104854639761257</v>
      </c>
      <c r="L57" s="4"/>
    </row>
    <row r="58" spans="1:26" s="6" customFormat="1" x14ac:dyDescent="0.2">
      <c r="A58" s="3"/>
      <c r="B58" s="91" t="s">
        <v>91</v>
      </c>
      <c r="C58" s="91"/>
      <c r="D58" s="91"/>
      <c r="E58" s="91"/>
      <c r="F58" s="91"/>
      <c r="G58" s="16"/>
      <c r="H58" s="16"/>
      <c r="I58" s="16"/>
      <c r="J58" s="16"/>
      <c r="K58" s="10"/>
      <c r="L58" s="10"/>
      <c r="M58" s="4"/>
    </row>
    <row r="59" spans="1:26" ht="20.25" x14ac:dyDescent="0.2">
      <c r="B59" s="86" t="str">
        <f>CONCATENATE("Informacja z wykonania budżetów jednostek samorządu terytorialnego za ",$D$129," ",$C$130," roku")</f>
        <v>Informacja z wykonania budżetów jednostek samorządu terytorialnego za I Kwartał 2025 roku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</row>
    <row r="60" spans="1:26" s="6" customForma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35.450000000000003" customHeight="1" x14ac:dyDescent="0.2">
      <c r="B61" s="117" t="s">
        <v>0</v>
      </c>
      <c r="C61" s="105" t="s">
        <v>41</v>
      </c>
      <c r="D61" s="105" t="s">
        <v>43</v>
      </c>
      <c r="E61" s="105" t="s">
        <v>42</v>
      </c>
      <c r="F61" s="105" t="s">
        <v>12</v>
      </c>
      <c r="G61" s="105"/>
      <c r="H61" s="105"/>
      <c r="I61" s="131" t="s">
        <v>72</v>
      </c>
      <c r="J61" s="131" t="s">
        <v>2</v>
      </c>
      <c r="K61" s="128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">
      <c r="B62" s="117"/>
      <c r="C62" s="105"/>
      <c r="D62" s="105"/>
      <c r="E62" s="105"/>
      <c r="F62" s="122" t="s">
        <v>44</v>
      </c>
      <c r="G62" s="106" t="s">
        <v>27</v>
      </c>
      <c r="H62" s="107"/>
      <c r="I62" s="132"/>
      <c r="J62" s="132"/>
      <c r="K62" s="129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5.25" x14ac:dyDescent="0.2">
      <c r="B63" s="117"/>
      <c r="C63" s="105"/>
      <c r="D63" s="105"/>
      <c r="E63" s="105"/>
      <c r="F63" s="107"/>
      <c r="G63" s="18" t="s">
        <v>39</v>
      </c>
      <c r="H63" s="18" t="s">
        <v>40</v>
      </c>
      <c r="I63" s="133"/>
      <c r="J63" s="133"/>
      <c r="K63" s="130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">
      <c r="B64" s="117"/>
      <c r="C64" s="119" t="s">
        <v>64</v>
      </c>
      <c r="D64" s="120"/>
      <c r="E64" s="120"/>
      <c r="F64" s="120"/>
      <c r="G64" s="120"/>
      <c r="H64" s="121"/>
      <c r="I64" s="71"/>
      <c r="J64" s="118" t="s">
        <v>4</v>
      </c>
      <c r="K64" s="118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5.5" x14ac:dyDescent="0.2">
      <c r="B66" s="56" t="s">
        <v>48</v>
      </c>
      <c r="C66" s="62">
        <f>497700132919.75</f>
        <v>497700132919.75</v>
      </c>
      <c r="D66" s="62">
        <f>98732208096.39</f>
        <v>98732208096.389999</v>
      </c>
      <c r="E66" s="62">
        <f>315930520102.79</f>
        <v>315930520102.78998</v>
      </c>
      <c r="F66" s="62">
        <f>11942848013.45</f>
        <v>11942848013.450001</v>
      </c>
      <c r="G66" s="62">
        <f>15648930.8</f>
        <v>15648930.800000001</v>
      </c>
      <c r="H66" s="62">
        <f>8045081.16</f>
        <v>8045081.1600000001</v>
      </c>
      <c r="I66" s="68">
        <f>0</f>
        <v>0</v>
      </c>
      <c r="J66" s="50">
        <f>IF($D$66=0,"",100*$D66/$D$66)</f>
        <v>100</v>
      </c>
      <c r="K66" s="50">
        <f>IF(C66=0,"",100*D66/C66)</f>
        <v>19.837689718340851</v>
      </c>
    </row>
    <row r="67" spans="2:26" x14ac:dyDescent="0.2">
      <c r="B67" s="75" t="s">
        <v>14</v>
      </c>
      <c r="C67" s="27">
        <f>125246994363.61</f>
        <v>125246994363.61</v>
      </c>
      <c r="D67" s="27">
        <f>10290011636.89</f>
        <v>10290011636.889999</v>
      </c>
      <c r="E67" s="27">
        <f>56537924573.97</f>
        <v>56537924573.970001</v>
      </c>
      <c r="F67" s="27">
        <f>2186852560.12</f>
        <v>2186852560.1199999</v>
      </c>
      <c r="G67" s="27">
        <f>4282083.25</f>
        <v>4282083.25</v>
      </c>
      <c r="H67" s="27">
        <f>1170051.75</f>
        <v>1170051.75</v>
      </c>
      <c r="I67" s="69">
        <f>0</f>
        <v>0</v>
      </c>
      <c r="J67" s="50">
        <f t="shared" ref="J67:J75" si="6">IF($D$66=0,"",100*$D67/$D$66)</f>
        <v>10.42214271845728</v>
      </c>
      <c r="K67" s="50">
        <f t="shared" ref="K67:K75" si="7">IF(C67=0,"",100*D67/C67)</f>
        <v>8.2157753079619766</v>
      </c>
    </row>
    <row r="68" spans="2:26" outlineLevel="1" x14ac:dyDescent="0.2">
      <c r="B68" s="31" t="s">
        <v>13</v>
      </c>
      <c r="C68" s="23">
        <f>120840776066.63</f>
        <v>120840776066.63</v>
      </c>
      <c r="D68" s="23">
        <f>9326920176.43002</f>
        <v>9326920176.4300194</v>
      </c>
      <c r="E68" s="23">
        <f>55038907333.21</f>
        <v>55038907333.209999</v>
      </c>
      <c r="F68" s="23">
        <f>2131762387.38</f>
        <v>2131762387.3800001</v>
      </c>
      <c r="G68" s="23">
        <f>1332083.25</f>
        <v>1332083.25</v>
      </c>
      <c r="H68" s="23">
        <f>1170051.75</f>
        <v>1170051.75</v>
      </c>
      <c r="I68" s="70">
        <f>0</f>
        <v>0</v>
      </c>
      <c r="J68" s="50">
        <f t="shared" si="6"/>
        <v>9.4466844773940029</v>
      </c>
      <c r="K68" s="50">
        <f t="shared" si="7"/>
        <v>7.7183550784937687</v>
      </c>
    </row>
    <row r="69" spans="2:26" ht="25.5" x14ac:dyDescent="0.2">
      <c r="B69" s="76" t="s">
        <v>49</v>
      </c>
      <c r="C69" s="62">
        <f t="shared" ref="C69:I69" si="8">C66-C67</f>
        <v>372453138556.14001</v>
      </c>
      <c r="D69" s="62">
        <f t="shared" si="8"/>
        <v>88442196459.5</v>
      </c>
      <c r="E69" s="62">
        <f t="shared" si="8"/>
        <v>259392595528.81998</v>
      </c>
      <c r="F69" s="62">
        <f t="shared" si="8"/>
        <v>9755995453.3300018</v>
      </c>
      <c r="G69" s="62">
        <f t="shared" si="8"/>
        <v>11366847.550000001</v>
      </c>
      <c r="H69" s="62">
        <f t="shared" si="8"/>
        <v>6875029.4100000001</v>
      </c>
      <c r="I69" s="68">
        <f t="shared" si="8"/>
        <v>0</v>
      </c>
      <c r="J69" s="50">
        <f t="shared" si="6"/>
        <v>89.57785728154272</v>
      </c>
      <c r="K69" s="50">
        <f t="shared" si="7"/>
        <v>23.745858821959981</v>
      </c>
    </row>
    <row r="70" spans="2:26" outlineLevel="1" x14ac:dyDescent="0.2">
      <c r="B70" s="31" t="s">
        <v>87</v>
      </c>
      <c r="C70" s="23">
        <f>175613566060.37</f>
        <v>175613566060.37</v>
      </c>
      <c r="D70" s="23">
        <f>47539290144.92</f>
        <v>47539290144.919998</v>
      </c>
      <c r="E70" s="23">
        <f>146676611390.41</f>
        <v>146676611390.41</v>
      </c>
      <c r="F70" s="23">
        <f>4719208752.59999</f>
        <v>4719208752.5999899</v>
      </c>
      <c r="G70" s="23">
        <f>1498304.09</f>
        <v>1498304.09</v>
      </c>
      <c r="H70" s="23">
        <f>953225.25</f>
        <v>953225.25</v>
      </c>
      <c r="I70" s="70">
        <f>0</f>
        <v>0</v>
      </c>
      <c r="J70" s="50">
        <f t="shared" si="6"/>
        <v>48.149728504510378</v>
      </c>
      <c r="K70" s="50">
        <f t="shared" si="7"/>
        <v>27.070397356760925</v>
      </c>
    </row>
    <row r="71" spans="2:26" outlineLevel="1" x14ac:dyDescent="0.2">
      <c r="B71" s="31" t="s">
        <v>38</v>
      </c>
      <c r="C71" s="23">
        <f>50590895779.52</f>
        <v>50590895779.519997</v>
      </c>
      <c r="D71" s="23">
        <f>12981834120.56</f>
        <v>12981834120.559999</v>
      </c>
      <c r="E71" s="23">
        <f>32108069346.56</f>
        <v>32108069346.560001</v>
      </c>
      <c r="F71" s="23">
        <f>611892078.02</f>
        <v>611892078.01999998</v>
      </c>
      <c r="G71" s="23">
        <f>0</f>
        <v>0</v>
      </c>
      <c r="H71" s="23">
        <f>89569.92</f>
        <v>89569.919999999998</v>
      </c>
      <c r="I71" s="70">
        <f>0</f>
        <v>0</v>
      </c>
      <c r="J71" s="50">
        <f t="shared" si="6"/>
        <v>13.14853012087619</v>
      </c>
      <c r="K71" s="50">
        <f t="shared" si="7"/>
        <v>25.66041561536306</v>
      </c>
    </row>
    <row r="72" spans="2:26" outlineLevel="1" x14ac:dyDescent="0.2">
      <c r="B72" s="31" t="s">
        <v>37</v>
      </c>
      <c r="C72" s="23">
        <f>7401568469.43</f>
        <v>7401568469.4300003</v>
      </c>
      <c r="D72" s="23">
        <f>1109856201.05</f>
        <v>1109856201.05</v>
      </c>
      <c r="E72" s="23">
        <f>3577923949.23</f>
        <v>3577923949.23</v>
      </c>
      <c r="F72" s="23">
        <f>369030473.31</f>
        <v>369030473.31</v>
      </c>
      <c r="G72" s="23">
        <f>0</f>
        <v>0</v>
      </c>
      <c r="H72" s="23">
        <f>0.45</f>
        <v>0.45</v>
      </c>
      <c r="I72" s="70">
        <f>0</f>
        <v>0</v>
      </c>
      <c r="J72" s="50">
        <f t="shared" si="6"/>
        <v>1.1241075454997145</v>
      </c>
      <c r="K72" s="50">
        <f t="shared" si="7"/>
        <v>14.994878526543857</v>
      </c>
    </row>
    <row r="73" spans="2:26" outlineLevel="1" x14ac:dyDescent="0.2">
      <c r="B73" s="31" t="s">
        <v>55</v>
      </c>
      <c r="C73" s="23">
        <f>554882562.19</f>
        <v>554882562.19000006</v>
      </c>
      <c r="D73" s="23">
        <f>9289272.77</f>
        <v>9289272.7699999996</v>
      </c>
      <c r="E73" s="23">
        <f>52691787.38</f>
        <v>52691787.380000003</v>
      </c>
      <c r="F73" s="23">
        <f>0</f>
        <v>0</v>
      </c>
      <c r="G73" s="23">
        <f>0</f>
        <v>0</v>
      </c>
      <c r="H73" s="23">
        <f>0</f>
        <v>0</v>
      </c>
      <c r="I73" s="70">
        <f>0</f>
        <v>0</v>
      </c>
      <c r="J73" s="50">
        <f t="shared" si="6"/>
        <v>9.4085536514397564E-3</v>
      </c>
      <c r="K73" s="50">
        <f t="shared" si="7"/>
        <v>1.6740970798104149</v>
      </c>
    </row>
    <row r="74" spans="2:26" outlineLevel="1" x14ac:dyDescent="0.2">
      <c r="B74" s="31" t="s">
        <v>56</v>
      </c>
      <c r="C74" s="23">
        <f>22736334866.42</f>
        <v>22736334866.419998</v>
      </c>
      <c r="D74" s="23">
        <f>6503072739.24</f>
        <v>6503072739.2399998</v>
      </c>
      <c r="E74" s="23">
        <f>15353055433.77</f>
        <v>15353055433.77</v>
      </c>
      <c r="F74" s="23">
        <f>315382710.02</f>
        <v>315382710.01999998</v>
      </c>
      <c r="G74" s="23">
        <f>752068.23</f>
        <v>752068.23</v>
      </c>
      <c r="H74" s="23">
        <f>154546.23</f>
        <v>154546.23000000001</v>
      </c>
      <c r="I74" s="70">
        <f>0</f>
        <v>0</v>
      </c>
      <c r="J74" s="50">
        <f t="shared" si="6"/>
        <v>6.5865768269774732</v>
      </c>
      <c r="K74" s="50">
        <f t="shared" si="7"/>
        <v>28.602115413265622</v>
      </c>
    </row>
    <row r="75" spans="2:26" outlineLevel="1" x14ac:dyDescent="0.2">
      <c r="B75" s="31" t="s">
        <v>36</v>
      </c>
      <c r="C75" s="23">
        <f t="shared" ref="C75:I75" si="9">C69-C70-C71-C72-C73-C74</f>
        <v>115555890818.21004</v>
      </c>
      <c r="D75" s="23">
        <f t="shared" si="9"/>
        <v>20298853980.960007</v>
      </c>
      <c r="E75" s="23">
        <f t="shared" si="9"/>
        <v>61624243621.469971</v>
      </c>
      <c r="F75" s="23">
        <f t="shared" si="9"/>
        <v>3740481439.3800125</v>
      </c>
      <c r="G75" s="23">
        <f t="shared" si="9"/>
        <v>9116475.2300000004</v>
      </c>
      <c r="H75" s="23">
        <f t="shared" si="9"/>
        <v>5677687.5599999996</v>
      </c>
      <c r="I75" s="70">
        <f t="shared" si="9"/>
        <v>0</v>
      </c>
      <c r="J75" s="50">
        <f t="shared" si="6"/>
        <v>20.559505730027531</v>
      </c>
      <c r="K75" s="50">
        <f t="shared" si="7"/>
        <v>17.566264979856122</v>
      </c>
    </row>
    <row r="76" spans="2:26" x14ac:dyDescent="0.2">
      <c r="B76" s="20" t="s">
        <v>15</v>
      </c>
      <c r="C76" s="27">
        <f>C6-C66</f>
        <v>-38571668379.75</v>
      </c>
      <c r="D76" s="27">
        <f>D6-D66</f>
        <v>41314238278.580002</v>
      </c>
      <c r="E76" s="29"/>
      <c r="F76" s="29"/>
      <c r="G76" s="14"/>
    </row>
    <row r="77" spans="2:26" ht="25.5" x14ac:dyDescent="0.2">
      <c r="B77" s="95" t="s">
        <v>122</v>
      </c>
      <c r="C77" s="51">
        <f>+C57-C69</f>
        <v>17613992784.259888</v>
      </c>
      <c r="D77" s="51">
        <f>+D57-D69</f>
        <v>44589631681.630005</v>
      </c>
      <c r="E77" s="29"/>
      <c r="F77" s="29"/>
      <c r="G77" s="14"/>
    </row>
    <row r="78" spans="2:26" outlineLevel="1" x14ac:dyDescent="0.2">
      <c r="B78" s="93"/>
      <c r="C78" s="94"/>
      <c r="D78" s="94"/>
      <c r="E78" s="29"/>
      <c r="F78" s="29"/>
      <c r="G78" s="14"/>
    </row>
    <row r="79" spans="2:26" outlineLevel="1" x14ac:dyDescent="0.2">
      <c r="B79" s="93"/>
      <c r="C79" s="94"/>
      <c r="D79" s="94"/>
      <c r="E79" s="29"/>
      <c r="F79" s="29"/>
      <c r="G79" s="14"/>
    </row>
    <row r="80" spans="2:26" outlineLevel="1" x14ac:dyDescent="0.2">
      <c r="B80" s="103" t="s">
        <v>118</v>
      </c>
      <c r="C80" s="104" t="s">
        <v>104</v>
      </c>
      <c r="D80" s="104"/>
      <c r="E80" s="104" t="s">
        <v>105</v>
      </c>
      <c r="F80" s="104"/>
      <c r="G80" s="101" t="s">
        <v>123</v>
      </c>
    </row>
    <row r="81" spans="2:13" outlineLevel="1" x14ac:dyDescent="0.2">
      <c r="B81" s="103"/>
      <c r="C81" s="98" t="s">
        <v>106</v>
      </c>
      <c r="D81" s="98" t="s">
        <v>107</v>
      </c>
      <c r="E81" s="98" t="s">
        <v>106</v>
      </c>
      <c r="F81" s="98" t="s">
        <v>107</v>
      </c>
      <c r="G81" s="98" t="s">
        <v>106</v>
      </c>
    </row>
    <row r="82" spans="2:13" outlineLevel="1" x14ac:dyDescent="0.2">
      <c r="B82" s="99" t="s">
        <v>119</v>
      </c>
      <c r="C82" s="102">
        <f>292</f>
        <v>292</v>
      </c>
      <c r="D82" s="96">
        <f>443212247.96</f>
        <v>443212247.95999998</v>
      </c>
      <c r="E82" s="102">
        <f>2503</f>
        <v>2503</v>
      </c>
      <c r="F82" s="96">
        <f>+-39014880627.71</f>
        <v>-39014880627.709999</v>
      </c>
      <c r="G82" s="102">
        <f>14</f>
        <v>14</v>
      </c>
    </row>
    <row r="83" spans="2:13" outlineLevel="1" x14ac:dyDescent="0.2">
      <c r="B83" s="99" t="s">
        <v>120</v>
      </c>
      <c r="C83" s="102">
        <f>2773</f>
        <v>2773</v>
      </c>
      <c r="D83" s="96">
        <f>41442627466.48</f>
        <v>41442627466.480003</v>
      </c>
      <c r="E83" s="102">
        <f>36</f>
        <v>36</v>
      </c>
      <c r="F83" s="96">
        <f>+-128389187.9</f>
        <v>-128389187.90000001</v>
      </c>
      <c r="G83" s="102">
        <f>0</f>
        <v>0</v>
      </c>
    </row>
    <row r="84" spans="2:13" outlineLevel="1" x14ac:dyDescent="0.2">
      <c r="B84" s="100"/>
      <c r="C84" s="100"/>
      <c r="D84" s="100"/>
      <c r="E84" s="100"/>
      <c r="F84" s="100"/>
      <c r="G84" s="100"/>
    </row>
    <row r="85" spans="2:13" outlineLevel="1" x14ac:dyDescent="0.2">
      <c r="B85" s="103" t="s">
        <v>121</v>
      </c>
      <c r="C85" s="104" t="s">
        <v>104</v>
      </c>
      <c r="D85" s="104"/>
      <c r="E85" s="104" t="s">
        <v>105</v>
      </c>
      <c r="F85" s="104"/>
      <c r="G85" s="101" t="s">
        <v>123</v>
      </c>
    </row>
    <row r="86" spans="2:13" outlineLevel="1" x14ac:dyDescent="0.2">
      <c r="B86" s="103"/>
      <c r="C86" s="98" t="s">
        <v>106</v>
      </c>
      <c r="D86" s="98" t="s">
        <v>107</v>
      </c>
      <c r="E86" s="98" t="s">
        <v>106</v>
      </c>
      <c r="F86" s="98" t="s">
        <v>107</v>
      </c>
      <c r="G86" s="98" t="s">
        <v>106</v>
      </c>
    </row>
    <row r="87" spans="2:13" outlineLevel="1" x14ac:dyDescent="0.2">
      <c r="B87" s="99" t="s">
        <v>119</v>
      </c>
      <c r="C87" s="102">
        <f>2402</f>
        <v>2402</v>
      </c>
      <c r="D87" s="96">
        <f>19314427895.71</f>
        <v>19314427895.709999</v>
      </c>
      <c r="E87" s="102">
        <f>404</f>
        <v>404</v>
      </c>
      <c r="F87" s="96">
        <f>+-1700435111.45</f>
        <v>-1700435111.45</v>
      </c>
      <c r="G87" s="102">
        <f>3</f>
        <v>3</v>
      </c>
    </row>
    <row r="88" spans="2:13" outlineLevel="1" x14ac:dyDescent="0.2">
      <c r="B88" s="99" t="s">
        <v>120</v>
      </c>
      <c r="C88" s="102">
        <f>2809</f>
        <v>2809</v>
      </c>
      <c r="D88" s="96">
        <f>44589631681.63</f>
        <v>44589631681.629997</v>
      </c>
      <c r="E88" s="102">
        <f>0</f>
        <v>0</v>
      </c>
      <c r="F88" s="96">
        <f>0</f>
        <v>0</v>
      </c>
      <c r="G88" s="102">
        <f>0</f>
        <v>0</v>
      </c>
    </row>
    <row r="89" spans="2:13" x14ac:dyDescent="0.2">
      <c r="B89" s="52"/>
      <c r="C89" s="53"/>
      <c r="D89" s="53"/>
      <c r="E89" s="53"/>
      <c r="F89" s="2"/>
      <c r="G89" s="2"/>
      <c r="H89" s="2"/>
      <c r="I89" s="2"/>
      <c r="L89" s="11"/>
      <c r="M89" s="11"/>
    </row>
    <row r="90" spans="2:13" x14ac:dyDescent="0.2">
      <c r="B90" s="89" t="s">
        <v>92</v>
      </c>
      <c r="C90" s="53"/>
      <c r="D90" s="53"/>
      <c r="E90" s="53"/>
      <c r="F90" s="2"/>
      <c r="G90" s="2"/>
      <c r="H90" s="2"/>
      <c r="I90" s="2"/>
      <c r="L90" s="11"/>
      <c r="M90" s="11"/>
    </row>
    <row r="91" spans="2:13" ht="25.5" x14ac:dyDescent="0.2">
      <c r="B91" s="90" t="s">
        <v>59</v>
      </c>
      <c r="C91" s="62">
        <f>34847278312.27</f>
        <v>34847278312.269997</v>
      </c>
      <c r="D91" s="62">
        <f>2658182902.29999</f>
        <v>2658182902.2999902</v>
      </c>
      <c r="E91" s="62">
        <f>13525013522.2</f>
        <v>13525013522.200001</v>
      </c>
      <c r="F91" s="62">
        <f>519847237.87</f>
        <v>519847237.87</v>
      </c>
      <c r="G91" s="62">
        <f>205442.95</f>
        <v>205442.95</v>
      </c>
      <c r="H91" s="62">
        <f>530119.03</f>
        <v>530119.03</v>
      </c>
      <c r="I91" s="68">
        <f>0</f>
        <v>0</v>
      </c>
      <c r="J91" s="50">
        <f>IF($D$91=0,"",100*$D91/$D$91)</f>
        <v>100</v>
      </c>
      <c r="K91" s="50">
        <f>IF(C91=0,"",100*D91/C91)</f>
        <v>7.6280933003712468</v>
      </c>
      <c r="L91" s="11"/>
    </row>
    <row r="92" spans="2:13" x14ac:dyDescent="0.2">
      <c r="B92" s="54" t="s">
        <v>62</v>
      </c>
      <c r="C92" s="64">
        <f>25919169556.1</f>
        <v>25919169556.099998</v>
      </c>
      <c r="D92" s="64">
        <f>1491880738.79</f>
        <v>1491880738.79</v>
      </c>
      <c r="E92" s="64">
        <f>9812716442.06</f>
        <v>9812716442.0599995</v>
      </c>
      <c r="F92" s="64">
        <f>466528115.82</f>
        <v>466528115.81999999</v>
      </c>
      <c r="G92" s="64">
        <f>205442.95</f>
        <v>205442.95</v>
      </c>
      <c r="H92" s="64">
        <f>530059.03</f>
        <v>530059.03</v>
      </c>
      <c r="I92" s="73">
        <f>0</f>
        <v>0</v>
      </c>
      <c r="J92" s="50">
        <f>IF($D$91=0,"",100*$D92/$D$91)</f>
        <v>56.124081510687304</v>
      </c>
      <c r="K92" s="50">
        <f>IF(C92=0,"",100*D92/C92)</f>
        <v>5.7558971384516848</v>
      </c>
      <c r="L92" s="11"/>
    </row>
    <row r="93" spans="2:13" x14ac:dyDescent="0.2">
      <c r="B93" s="54" t="s">
        <v>63</v>
      </c>
      <c r="C93" s="64">
        <f t="shared" ref="C93:I93" si="10">C91-C92</f>
        <v>8928108756.1699982</v>
      </c>
      <c r="D93" s="64">
        <f t="shared" si="10"/>
        <v>1166302163.5099902</v>
      </c>
      <c r="E93" s="64">
        <f t="shared" si="10"/>
        <v>3712297080.1400013</v>
      </c>
      <c r="F93" s="64">
        <f t="shared" si="10"/>
        <v>53319122.050000012</v>
      </c>
      <c r="G93" s="64">
        <f t="shared" si="10"/>
        <v>0</v>
      </c>
      <c r="H93" s="64">
        <f t="shared" si="10"/>
        <v>60</v>
      </c>
      <c r="I93" s="73">
        <f t="shared" si="10"/>
        <v>0</v>
      </c>
      <c r="J93" s="50">
        <f>IF($D$91=0,"",100*$D93/$D$91)</f>
        <v>43.875918489312696</v>
      </c>
      <c r="K93" s="50">
        <f>IF(C93=0,"",100*D93/C93)</f>
        <v>13.063261160477992</v>
      </c>
    </row>
    <row r="94" spans="2:13" ht="20.25" x14ac:dyDescent="0.2">
      <c r="B94" s="86" t="str">
        <f>CONCATENATE("Informacja z wykonania budżetów jednostek samorządu terytorialnego za ",$D$129," ",$C$130," roku")</f>
        <v>Informacja z wykonania budżetów jednostek samorządu terytorialnego za I Kwartał 2025 roku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">
      <c r="B95" s="41" t="s">
        <v>16</v>
      </c>
      <c r="C95" s="72" t="s">
        <v>17</v>
      </c>
      <c r="D95" s="72" t="s">
        <v>1</v>
      </c>
      <c r="E95" s="108" t="s">
        <v>45</v>
      </c>
      <c r="F95" s="109"/>
      <c r="G95" s="109"/>
      <c r="H95" s="109"/>
      <c r="I95" s="110"/>
      <c r="J95" s="19" t="s">
        <v>22</v>
      </c>
      <c r="K95" s="19" t="s">
        <v>23</v>
      </c>
    </row>
    <row r="96" spans="2:13" x14ac:dyDescent="0.2">
      <c r="B96" s="41"/>
      <c r="C96" s="122" t="s">
        <v>64</v>
      </c>
      <c r="D96" s="123"/>
      <c r="E96" s="111"/>
      <c r="F96" s="112"/>
      <c r="G96" s="112"/>
      <c r="H96" s="112"/>
      <c r="I96" s="113"/>
      <c r="J96" s="126" t="s">
        <v>4</v>
      </c>
      <c r="K96" s="127"/>
    </row>
    <row r="97" spans="2:11" x14ac:dyDescent="0.2">
      <c r="B97" s="39">
        <v>1</v>
      </c>
      <c r="C97" s="72">
        <v>2</v>
      </c>
      <c r="D97" s="72">
        <v>3</v>
      </c>
      <c r="E97" s="114"/>
      <c r="F97" s="115"/>
      <c r="G97" s="115"/>
      <c r="H97" s="115"/>
      <c r="I97" s="116"/>
      <c r="J97" s="40">
        <v>4</v>
      </c>
      <c r="K97" s="40">
        <v>5</v>
      </c>
    </row>
    <row r="98" spans="2:11" ht="25.5" x14ac:dyDescent="0.2">
      <c r="B98" s="38" t="s">
        <v>50</v>
      </c>
      <c r="C98" s="43">
        <f>50367641334.88</f>
        <v>50367641334.879997</v>
      </c>
      <c r="D98" s="43">
        <f>41207221188.31</f>
        <v>41207221188.309998</v>
      </c>
      <c r="E98" s="43" t="s">
        <v>45</v>
      </c>
      <c r="F98" s="43" t="s">
        <v>45</v>
      </c>
      <c r="G98" s="43" t="s">
        <v>45</v>
      </c>
      <c r="H98" s="43" t="s">
        <v>45</v>
      </c>
      <c r="I98" s="43" t="s">
        <v>45</v>
      </c>
      <c r="J98" s="42">
        <f>IF($D$98=0,"",100*$D98/$D$98)</f>
        <v>100</v>
      </c>
      <c r="K98" s="37">
        <f t="shared" ref="K98:K113" si="11">IF(C98=0,"",100*D98/C98)</f>
        <v>81.812886401280949</v>
      </c>
    </row>
    <row r="99" spans="2:11" ht="22.5" x14ac:dyDescent="0.2">
      <c r="B99" s="77" t="s">
        <v>93</v>
      </c>
      <c r="C99" s="44">
        <f>27986423769.71</f>
        <v>27986423769.709999</v>
      </c>
      <c r="D99" s="44">
        <f>226089887.17</f>
        <v>226089887.16999999</v>
      </c>
      <c r="E99" s="43" t="s">
        <v>45</v>
      </c>
      <c r="F99" s="43" t="s">
        <v>45</v>
      </c>
      <c r="G99" s="43" t="s">
        <v>45</v>
      </c>
      <c r="H99" s="43" t="s">
        <v>45</v>
      </c>
      <c r="I99" s="43" t="s">
        <v>45</v>
      </c>
      <c r="J99" s="48">
        <f t="shared" ref="J99:J108" si="12">IF($D$98=0,"",100*$D99/$D$98)</f>
        <v>0.54866569657004449</v>
      </c>
      <c r="K99" s="49">
        <f t="shared" si="11"/>
        <v>0.80785558394459622</v>
      </c>
    </row>
    <row r="100" spans="2:11" x14ac:dyDescent="0.2">
      <c r="B100" s="78" t="s">
        <v>73</v>
      </c>
      <c r="C100" s="66">
        <f>2482834323.52</f>
        <v>2482834323.52</v>
      </c>
      <c r="D100" s="66">
        <f>33496800</f>
        <v>33496800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67">
        <f t="shared" si="12"/>
        <v>8.1288665030154098E-2</v>
      </c>
      <c r="K100" s="65">
        <f t="shared" si="11"/>
        <v>1.3491355296115946</v>
      </c>
    </row>
    <row r="101" spans="2:11" x14ac:dyDescent="0.2">
      <c r="B101" s="32" t="s">
        <v>74</v>
      </c>
      <c r="C101" s="66">
        <f>401183214.26</f>
        <v>401183214.25999999</v>
      </c>
      <c r="D101" s="66">
        <f>25551376.17</f>
        <v>25551376.170000002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67">
        <f t="shared" si="12"/>
        <v>6.2007035255385347E-2</v>
      </c>
      <c r="K101" s="65">
        <f t="shared" si="11"/>
        <v>6.3690043007234571</v>
      </c>
    </row>
    <row r="102" spans="2:11" ht="33.75" x14ac:dyDescent="0.2">
      <c r="B102" s="32" t="s">
        <v>83</v>
      </c>
      <c r="C102" s="66">
        <f>4595554363.37</f>
        <v>4595554363.3699999</v>
      </c>
      <c r="D102" s="66">
        <f>11565939783.79</f>
        <v>11565939783.790001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7">
        <f t="shared" si="12"/>
        <v>28.067749899794556</v>
      </c>
      <c r="K102" s="65">
        <f t="shared" si="11"/>
        <v>251.67670468614574</v>
      </c>
    </row>
    <row r="103" spans="2:11" ht="22.5" x14ac:dyDescent="0.2">
      <c r="B103" s="32" t="s">
        <v>84</v>
      </c>
      <c r="C103" s="66">
        <f>4080163105.97</f>
        <v>4080163105.9699998</v>
      </c>
      <c r="D103" s="66">
        <f>5760721449.92</f>
        <v>5760721449.9200001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7">
        <f t="shared" si="12"/>
        <v>13.979883340336107</v>
      </c>
      <c r="K103" s="65">
        <f t="shared" si="11"/>
        <v>141.18850889786847</v>
      </c>
    </row>
    <row r="104" spans="2:11" x14ac:dyDescent="0.2">
      <c r="B104" s="32" t="s">
        <v>75</v>
      </c>
      <c r="C104" s="66">
        <f>0</f>
        <v>0</v>
      </c>
      <c r="D104" s="66">
        <f>0</f>
        <v>0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7">
        <f t="shared" si="12"/>
        <v>0</v>
      </c>
      <c r="K104" s="65" t="str">
        <f t="shared" si="11"/>
        <v/>
      </c>
    </row>
    <row r="105" spans="2:11" ht="22.5" x14ac:dyDescent="0.2">
      <c r="B105" s="32" t="s">
        <v>76</v>
      </c>
      <c r="C105" s="66">
        <f>11615979459.18</f>
        <v>11615979459.18</v>
      </c>
      <c r="D105" s="66">
        <f>21397900134.35</f>
        <v>21397900134.349998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7">
        <f t="shared" si="12"/>
        <v>51.927549388892864</v>
      </c>
      <c r="K105" s="65">
        <f t="shared" si="11"/>
        <v>184.21089852599073</v>
      </c>
    </row>
    <row r="106" spans="2:11" ht="33.75" x14ac:dyDescent="0.2">
      <c r="B106" s="32" t="s">
        <v>94</v>
      </c>
      <c r="C106" s="66">
        <f>0</f>
        <v>0</v>
      </c>
      <c r="D106" s="66">
        <f>170951630.06</f>
        <v>170951630.06</v>
      </c>
      <c r="E106" s="43"/>
      <c r="F106" s="43"/>
      <c r="G106" s="43"/>
      <c r="H106" s="43"/>
      <c r="I106" s="43"/>
      <c r="J106" s="67">
        <f>IF($D$98=0,"",100*$D106/$D$98)</f>
        <v>0.41485842803808609</v>
      </c>
      <c r="K106" s="65" t="str">
        <f>IF(C106=0,"",100*D106/C106)</f>
        <v/>
      </c>
    </row>
    <row r="107" spans="2:11" x14ac:dyDescent="0.2">
      <c r="B107" s="32" t="s">
        <v>95</v>
      </c>
      <c r="C107" s="66">
        <f>1688337422.39</f>
        <v>1688337422.3900001</v>
      </c>
      <c r="D107" s="66">
        <f>2059786109.94</f>
        <v>2059786109.9400001</v>
      </c>
      <c r="E107" s="43"/>
      <c r="F107" s="43"/>
      <c r="G107" s="43"/>
      <c r="H107" s="43"/>
      <c r="I107" s="43"/>
      <c r="J107" s="48">
        <f t="shared" si="12"/>
        <v>4.9986047361143999</v>
      </c>
      <c r="K107" s="49">
        <f>IF(C107=0,"",100*D107/C107)</f>
        <v>122.0008561454605</v>
      </c>
    </row>
    <row r="108" spans="2:11" x14ac:dyDescent="0.2">
      <c r="B108" s="78" t="s">
        <v>96</v>
      </c>
      <c r="C108" s="66">
        <f>1672403253.14</f>
        <v>1672403253.1400001</v>
      </c>
      <c r="D108" s="66">
        <f>1630277750.14</f>
        <v>1630277750.1400001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7">
        <f t="shared" si="12"/>
        <v>3.9562914050668638</v>
      </c>
      <c r="K108" s="65">
        <f>IF(C108=0,"",100*D108/C108)</f>
        <v>97.481139616243397</v>
      </c>
    </row>
    <row r="109" spans="2:11" ht="25.5" x14ac:dyDescent="0.2">
      <c r="B109" s="38" t="s">
        <v>51</v>
      </c>
      <c r="C109" s="26">
        <f>11672789999.99</f>
        <v>11672789999.99</v>
      </c>
      <c r="D109" s="26">
        <f>5561951911.19</f>
        <v>5561951911.1899996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42">
        <f t="shared" ref="J109:J114" si="13">IF($D$109=0,"",100*$D109/$D$109)</f>
        <v>100.00000000000001</v>
      </c>
      <c r="K109" s="37">
        <f t="shared" si="11"/>
        <v>47.648864677551508</v>
      </c>
    </row>
    <row r="110" spans="2:11" ht="22.5" x14ac:dyDescent="0.2">
      <c r="B110" s="77" t="s">
        <v>77</v>
      </c>
      <c r="C110" s="66">
        <f>11155464252.23</f>
        <v>11155464252.23</v>
      </c>
      <c r="D110" s="66">
        <f>2341257546.02</f>
        <v>2341257546.02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48">
        <f t="shared" si="13"/>
        <v>42.094170956596415</v>
      </c>
      <c r="K110" s="49">
        <f t="shared" si="11"/>
        <v>20.987540214222623</v>
      </c>
    </row>
    <row r="111" spans="2:11" x14ac:dyDescent="0.2">
      <c r="B111" s="78" t="s">
        <v>78</v>
      </c>
      <c r="C111" s="66">
        <f>630869230.43</f>
        <v>630869230.42999995</v>
      </c>
      <c r="D111" s="66">
        <f>10413398</f>
        <v>10413398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67">
        <f t="shared" si="13"/>
        <v>0.18722560292276991</v>
      </c>
      <c r="K111" s="65">
        <f t="shared" si="11"/>
        <v>1.6506428745783395</v>
      </c>
    </row>
    <row r="112" spans="2:11" x14ac:dyDescent="0.2">
      <c r="B112" s="32" t="s">
        <v>85</v>
      </c>
      <c r="C112" s="66">
        <f>409414710.3</f>
        <v>409414710.30000001</v>
      </c>
      <c r="D112" s="66">
        <f>237792640.09</f>
        <v>237792640.09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67">
        <f t="shared" si="13"/>
        <v>4.2753451285975501</v>
      </c>
      <c r="K112" s="65">
        <f t="shared" si="11"/>
        <v>58.081117778048728</v>
      </c>
    </row>
    <row r="113" spans="2:11" x14ac:dyDescent="0.2">
      <c r="B113" s="79" t="s">
        <v>97</v>
      </c>
      <c r="C113" s="66">
        <f>107911037.46</f>
        <v>107911037.45999999</v>
      </c>
      <c r="D113" s="66">
        <f>2982901725.08</f>
        <v>2982901725.0799999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48">
        <f t="shared" si="13"/>
        <v>53.630483914806042</v>
      </c>
      <c r="K113" s="49">
        <f t="shared" si="11"/>
        <v>2764.2230074802956</v>
      </c>
    </row>
    <row r="114" spans="2:11" x14ac:dyDescent="0.2">
      <c r="B114" s="92" t="s">
        <v>98</v>
      </c>
      <c r="C114" s="66">
        <f>46887078.13</f>
        <v>46887078.130000003</v>
      </c>
      <c r="D114" s="66">
        <f>63175733.29</f>
        <v>63175733.289999999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48">
        <f t="shared" si="13"/>
        <v>1.1358554388594728</v>
      </c>
      <c r="K114" s="49">
        <f>IF(C114=0,"",100*D114/C114)</f>
        <v>134.7401796180128</v>
      </c>
    </row>
    <row r="116" spans="2:11" x14ac:dyDescent="0.2">
      <c r="B116" s="41" t="s">
        <v>16</v>
      </c>
      <c r="C116" s="72" t="s">
        <v>17</v>
      </c>
      <c r="D116" s="19" t="s">
        <v>1</v>
      </c>
    </row>
    <row r="117" spans="2:11" x14ac:dyDescent="0.2">
      <c r="B117" s="41"/>
      <c r="C117" s="122" t="s">
        <v>64</v>
      </c>
      <c r="D117" s="123"/>
    </row>
    <row r="118" spans="2:11" x14ac:dyDescent="0.2">
      <c r="B118" s="39">
        <v>1</v>
      </c>
      <c r="C118" s="72">
        <v>2</v>
      </c>
      <c r="D118" s="19">
        <v>3</v>
      </c>
    </row>
    <row r="119" spans="2:11" ht="22.5" x14ac:dyDescent="0.2">
      <c r="B119" s="47" t="s">
        <v>99</v>
      </c>
      <c r="C119" s="45">
        <f>39016842675.85</f>
        <v>39016842675.849998</v>
      </c>
      <c r="D119" s="28">
        <f>0</f>
        <v>0</v>
      </c>
    </row>
    <row r="120" spans="2:11" ht="22.5" x14ac:dyDescent="0.2">
      <c r="B120" s="85" t="s">
        <v>66</v>
      </c>
      <c r="C120" s="46">
        <f>1753873273.73</f>
        <v>1753873273.73</v>
      </c>
      <c r="D120" s="74">
        <f>0</f>
        <v>0</v>
      </c>
    </row>
    <row r="121" spans="2:11" x14ac:dyDescent="0.2">
      <c r="B121" s="85" t="s">
        <v>67</v>
      </c>
      <c r="C121" s="46">
        <f>18770977349.18</f>
        <v>18770977349.18</v>
      </c>
      <c r="D121" s="74">
        <f>0</f>
        <v>0</v>
      </c>
    </row>
    <row r="122" spans="2:11" x14ac:dyDescent="0.2">
      <c r="B122" s="85" t="s">
        <v>68</v>
      </c>
      <c r="C122" s="46">
        <f>0</f>
        <v>0</v>
      </c>
      <c r="D122" s="74">
        <f>0</f>
        <v>0</v>
      </c>
    </row>
    <row r="123" spans="2:11" ht="33.75" x14ac:dyDescent="0.2">
      <c r="B123" s="85" t="s">
        <v>86</v>
      </c>
      <c r="C123" s="46">
        <f>3876575475.79</f>
        <v>3876575475.79</v>
      </c>
      <c r="D123" s="74">
        <f>0</f>
        <v>0</v>
      </c>
    </row>
    <row r="124" spans="2:11" ht="56.25" x14ac:dyDescent="0.2">
      <c r="B124" s="85" t="s">
        <v>69</v>
      </c>
      <c r="C124" s="46">
        <f>9208234540.7</f>
        <v>9208234540.7000008</v>
      </c>
      <c r="D124" s="74">
        <f>0</f>
        <v>0</v>
      </c>
    </row>
    <row r="125" spans="2:11" ht="90" x14ac:dyDescent="0.2">
      <c r="B125" s="85" t="s">
        <v>88</v>
      </c>
      <c r="C125" s="46">
        <f>3770592953.41</f>
        <v>3770592953.4099998</v>
      </c>
      <c r="D125" s="74">
        <f>0</f>
        <v>0</v>
      </c>
    </row>
    <row r="126" spans="2:11" x14ac:dyDescent="0.2">
      <c r="B126" s="85" t="s">
        <v>81</v>
      </c>
      <c r="C126" s="46">
        <f>166272326.93</f>
        <v>166272326.93000001</v>
      </c>
      <c r="D126" s="74">
        <f>0</f>
        <v>0</v>
      </c>
    </row>
    <row r="127" spans="2:11" x14ac:dyDescent="0.2">
      <c r="B127" s="85" t="s">
        <v>96</v>
      </c>
      <c r="C127" s="46">
        <f>1470316756.11</f>
        <v>1470316756.1099999</v>
      </c>
      <c r="D127" s="74">
        <f>0</f>
        <v>0</v>
      </c>
    </row>
    <row r="129" spans="2:4" x14ac:dyDescent="0.2">
      <c r="B129" s="33" t="s">
        <v>52</v>
      </c>
      <c r="C129" s="97">
        <f>1</f>
        <v>1</v>
      </c>
      <c r="D129" s="33" t="str">
        <f>IF(C129=1,"I Kwartał",IF(C129=2,"II Kwartały",IF(C129=3,"III Kwartały",IF(C129=4,"IV Kwartały",IF(C129="M1","Styczeń",IF(C129="M11","Listopad",IF(C129="M12","Grudzień","-")))))))</f>
        <v>I Kwartał</v>
      </c>
    </row>
    <row r="130" spans="2:4" x14ac:dyDescent="0.2">
      <c r="B130" s="33" t="s">
        <v>53</v>
      </c>
      <c r="C130" s="88">
        <f>2025</f>
        <v>2025</v>
      </c>
    </row>
    <row r="131" spans="2:4" x14ac:dyDescent="0.2">
      <c r="B131" s="33" t="s">
        <v>54</v>
      </c>
      <c r="C131" s="124" t="str">
        <f>"May 17 2025 12:00AM"</f>
        <v>May 17 2025 12:00AM</v>
      </c>
      <c r="D131" s="125"/>
    </row>
  </sheetData>
  <mergeCells count="26">
    <mergeCell ref="C131:D131"/>
    <mergeCell ref="C117:D117"/>
    <mergeCell ref="J96:K96"/>
    <mergeCell ref="J64:K64"/>
    <mergeCell ref="K61:K63"/>
    <mergeCell ref="I61:I63"/>
    <mergeCell ref="J61:J63"/>
    <mergeCell ref="F61:H61"/>
    <mergeCell ref="C61:C63"/>
    <mergeCell ref="G62:H62"/>
    <mergeCell ref="E95:I97"/>
    <mergeCell ref="B3:B4"/>
    <mergeCell ref="J4:L4"/>
    <mergeCell ref="B61:B64"/>
    <mergeCell ref="C4:I4"/>
    <mergeCell ref="D61:D63"/>
    <mergeCell ref="E61:E63"/>
    <mergeCell ref="C64:H64"/>
    <mergeCell ref="C96:D96"/>
    <mergeCell ref="F62:F63"/>
    <mergeCell ref="B80:B81"/>
    <mergeCell ref="C80:D80"/>
    <mergeCell ref="E80:F80"/>
    <mergeCell ref="B85:B86"/>
    <mergeCell ref="C85:D85"/>
    <mergeCell ref="E85:F85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75" orientation="landscape" useFirstPageNumber="1" r:id="rId1"/>
  <headerFooter alignWithMargins="0">
    <oddFooter>&amp;RStrona &amp;P z &amp;N</oddFooter>
  </headerFooter>
  <rowBreaks count="2" manualBreakCount="2">
    <brk id="45" max="12" man="1"/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2025-02-06T15:04:44Z</cp:lastPrinted>
  <dcterms:created xsi:type="dcterms:W3CDTF">2001-05-17T08:58:03Z</dcterms:created>
  <dcterms:modified xsi:type="dcterms:W3CDTF">2025-05-21T12:06:12Z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2025-01-31T14:00:36.4926801+01:00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GRN-4a6a8bce-14a0-44be-8a2d-20d4f4ebfc44</vt:lpwstr>
  </property>
  <property fmtid="{D5CDD505-2E9C-101B-9397-08002B2CF9AE}" pid="7" name="MFHash">
    <vt:lpwstr>hJ+ngg+9s+tGkx/Vu3SXQN++GIMm8CSpPy5/CP61cQE=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