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heckCompatibility="1"/>
  <mc:AlternateContent xmlns:mc="http://schemas.openxmlformats.org/markup-compatibility/2006">
    <mc:Choice Requires="x15">
      <x15ac:absPath xmlns:x15ac="http://schemas.microsoft.com/office/spreadsheetml/2010/11/ac" url="C:\Users\mdabrowska\Desktop\"/>
    </mc:Choice>
  </mc:AlternateContent>
  <xr:revisionPtr revIDLastSave="0" documentId="8_{48F6CEBA-1F1C-4F02-B0E4-CC6719985372}" xr6:coauthVersionLast="47" xr6:coauthVersionMax="47" xr10:uidLastSave="{00000000-0000-0000-0000-000000000000}"/>
  <bookViews>
    <workbookView xWindow="-120" yWindow="-120" windowWidth="29040" windowHeight="15840" xr2:uid="{00000000-000D-0000-FFFF-FFFF00000000}"/>
  </bookViews>
  <sheets>
    <sheet name="CAŁOŚĆ"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01" i="1" l="1"/>
  <c r="K200" i="1"/>
  <c r="K199" i="1"/>
  <c r="K198" i="1"/>
  <c r="K197" i="1"/>
  <c r="K196" i="1"/>
  <c r="K195" i="1"/>
  <c r="K194" i="1"/>
  <c r="G191" i="1"/>
  <c r="F191" i="1"/>
  <c r="K191" i="1" s="1"/>
  <c r="K190" i="1"/>
  <c r="K189" i="1"/>
  <c r="K188" i="1"/>
  <c r="K187" i="1"/>
  <c r="K186" i="1"/>
  <c r="K185" i="1"/>
  <c r="H184" i="1"/>
  <c r="G184" i="1"/>
  <c r="K162" i="1"/>
  <c r="H153" i="1"/>
  <c r="G153" i="1"/>
  <c r="K134" i="1"/>
  <c r="H134" i="1"/>
  <c r="G134" i="1"/>
  <c r="F134" i="1"/>
  <c r="H131" i="1"/>
  <c r="G131" i="1"/>
  <c r="K130" i="1"/>
  <c r="H130" i="1"/>
  <c r="G130" i="1"/>
  <c r="F130" i="1"/>
  <c r="G123" i="1"/>
  <c r="F123" i="1"/>
  <c r="H118" i="1"/>
  <c r="G118" i="1"/>
  <c r="H116" i="1"/>
  <c r="G116" i="1"/>
  <c r="K111" i="1"/>
  <c r="H109" i="1"/>
  <c r="H106" i="1"/>
  <c r="G106" i="1"/>
  <c r="H104" i="1"/>
  <c r="G104" i="1"/>
  <c r="H102" i="1"/>
  <c r="G102" i="1"/>
  <c r="H101" i="1"/>
  <c r="G101" i="1"/>
  <c r="H100" i="1"/>
  <c r="G100" i="1"/>
  <c r="H99" i="1"/>
  <c r="G99" i="1"/>
  <c r="H98" i="1"/>
  <c r="G98" i="1"/>
  <c r="K87" i="1"/>
  <c r="G80" i="1"/>
  <c r="G79" i="1"/>
  <c r="G67" i="1"/>
  <c r="F67" i="1"/>
  <c r="K64" i="1"/>
  <c r="F61" i="1"/>
  <c r="G56" i="1"/>
  <c r="F56" i="1"/>
  <c r="G55" i="1"/>
  <c r="F55" i="1"/>
  <c r="G13" i="1"/>
  <c r="F13" i="1"/>
  <c r="H12" i="1"/>
  <c r="G11" i="1"/>
</calcChain>
</file>

<file path=xl/sharedStrings.xml><?xml version="1.0" encoding="utf-8"?>
<sst xmlns="http://schemas.openxmlformats.org/spreadsheetml/2006/main" count="798" uniqueCount="535">
  <si>
    <t>Lp.</t>
  </si>
  <si>
    <t>Obszar</t>
  </si>
  <si>
    <t>Działanie</t>
  </si>
  <si>
    <t>Wskaźnik</t>
  </si>
  <si>
    <t>Wartość bazowa 2019</t>
  </si>
  <si>
    <t>Wartość docelowa 2026</t>
  </si>
  <si>
    <t>Metodologia wyliczenia wskaźnika</t>
  </si>
  <si>
    <t>1.</t>
  </si>
  <si>
    <t>Czynniki ryzyka i profilaktyka</t>
  </si>
  <si>
    <t>1.1.</t>
  </si>
  <si>
    <t>Poprawa edukacji i poradnictwa w POZ oraz w szkołach celem skuteczniejszej eliminacji palenia tytoniu i nadużywania alkoholu .</t>
  </si>
  <si>
    <t>Liczba realizowanych programów profilaktycznych</t>
  </si>
  <si>
    <t>-</t>
  </si>
  <si>
    <t xml:space="preserve">Liczba programów ujętych w wykazie świadczeń gwarantowanych.
</t>
  </si>
  <si>
    <t>Liczba uczestników</t>
  </si>
  <si>
    <t xml:space="preserve">Liczba osób ujętych w raportach statystycznych przekazanych przez świadczeniodawców. </t>
  </si>
  <si>
    <t>1.2.</t>
  </si>
  <si>
    <t>Rozwój poradnictwa dietetycznego i profilaktyki otyłości.</t>
  </si>
  <si>
    <t>BASiW Czynniki ryzyka i profilaktyka zakładany wzrost o 5%</t>
  </si>
  <si>
    <t>1.3.</t>
  </si>
  <si>
    <t>Poprawa dostępności do świadczeń gwarantowanych w zakresie leczenia uzależnień.  
Działanie dotyczy głównie uzależnień od  alkoholu, tytoniu oraz substancji psychoaktywnych, a także uzależnień cyfrowych. Zasadna wydaje się centralizacja i stworzenie kompleksowo działającej poradni w województwie (lub kilku większych miastach województwa), która skupiać będzie wykwalifikowany personel specjalizujący się w poszczególnych dziedzinach. 
Kluczowa jest współpraca z organizacjami pacjenckimi oraz fundacjami działającymi w regionie i zajmującymi się poszczególnym typem uzależnień.</t>
  </si>
  <si>
    <t>Informator o kontraktach POW NFZ, program był realizowany i będzie realizowany do 2026 r.</t>
  </si>
  <si>
    <t>Liczba osób ujętych w raportach statystycznych przekazanych przez świadczeniodawców do POW NFZ</t>
  </si>
  <si>
    <t>1.4.</t>
  </si>
  <si>
    <t xml:space="preserve">Programy edukacyjne na temat znaczenia i pozytywnych skutków aktywności fizycznej (edukacja w szkołach, zakładach pracy, dla seniorów, poprzez media itp.).
Programy związane z aktywnością fizyczną dedykowane poszczególnym grupom wiekowym, dopasowane do sprawności fizycznej uczestników. (uwzględniające również osoby niepełnosprawne). Uruchomienie bezpłatnych zajęć pozalekcyjnych w szkołach, promujące wśród dzieci różne dyscypliny sportowe. Zajęcia pilates, joga, nordic walking itp. dedykowane seniorom organizowane np.: w domach kultury i kołach gospodyń wiejskich, Uniwersytetach Trzeciego Wieku. </t>
  </si>
  <si>
    <t>1.5.</t>
  </si>
  <si>
    <t xml:space="preserve">Poprawa dostępu do programów, diagnozowania oraz leczenia z zakresu metabolicznych czynników ryzyka (nadciśnienie tętnicze, wysokie BMI, podwyższony poziom glukozy i lipidów we krwi, zaburzenia czynności nerek, niska gęstość mineralna kości).
Wprowadzenie pakietu badań laboratoryjnych oraz poradnictwa żywieniowego dla osób po 40 roku życia. </t>
  </si>
  <si>
    <t>Liczba programów ujętych w wykazie świadczeń gwarantowanych</t>
  </si>
  <si>
    <t>Liczba osób ujęta w raportach statystycznych przekazanych przez świadczeniodawców do POW NFZ</t>
  </si>
  <si>
    <t>1.6.</t>
  </si>
  <si>
    <t>Promocja zdrowia w mediach polegająca m.in. na zwiększeniu zgłaszalności na badania profilaktyczne.
Prowadzenie aktywnych kampanii i szkoleń, współpraca z organizacjami propacjenckimi oraz fundacjami i udostępnianie treści profilaktycznych na ich stronach. Współpraca z lokalną telewizją oraz rozgłośniami radiowymi i prasą.</t>
  </si>
  <si>
    <t>Liczba akcji promocyjnych</t>
  </si>
  <si>
    <t>Liczba podjetych akcji  promocyjnych</t>
  </si>
  <si>
    <t>Liczba osób objętych  profilaktyką w porównaniu do roku poprzedniego</t>
  </si>
  <si>
    <t>Liczba osób objętych programami ujętymi w świadczeniach gwarantowanych wykazanych w raportach statystycznych świadczeniodawców</t>
  </si>
  <si>
    <t>1.7.</t>
  </si>
  <si>
    <t>Programy w szkołach, przedszkolach, dla studentów, w zakładach pracy, dla seniorów np. poprzez nawiązanie współpracy z uczelniami medycznymi w regionie, organizowanie warsztatów kulinarnych, pogadanek itp.</t>
  </si>
  <si>
    <t xml:space="preserve">Liczba osób objętych  profilaktyką w porównaniu do roku poprzedniego </t>
  </si>
  <si>
    <t>2.</t>
  </si>
  <si>
    <t>Podstawowa Opieka Zdrowotna</t>
  </si>
  <si>
    <t>2.1.</t>
  </si>
  <si>
    <t>Akcje informacyjne i edukacyjne począwszy od dzieci i młodzieży, informujące o miejscu i znaczeniu podstawowej opieki zdrowotnej, a także zakresie oferowanej opieki.</t>
  </si>
  <si>
    <t>Procentowy udział ubezpieczonych zapisanych do lekarza POZ</t>
  </si>
  <si>
    <t>Liczba osób na liście aktywnej/Populacja województwa</t>
  </si>
  <si>
    <t>2.2.</t>
  </si>
  <si>
    <t>Wsparcie inicjatyw zmierzających do zabezpieczenia kadrowego POZ.</t>
  </si>
  <si>
    <t>Wskaźnik na 100 tys. ludności - personel poz</t>
  </si>
  <si>
    <t>Wskaźnik na 100 tys. ludności - lekarze poz</t>
  </si>
  <si>
    <t>Wskaźnik na 100 tys. ludności - pielęgniarki i położne</t>
  </si>
  <si>
    <t>Wskaźnik na 100 tys. ludności - asystenci</t>
  </si>
  <si>
    <t>BRAK DANYCH</t>
  </si>
  <si>
    <t>2.3.</t>
  </si>
  <si>
    <t>Odciążenie personelu medycznego przez upowszechnienie realizacji działań pozamedycznych przez asystentów administracyjnych.</t>
  </si>
  <si>
    <t>2.4.</t>
  </si>
  <si>
    <t>Wsparcie dla doposażenia teleinformatycznego świadczeniodawców.
Możliwość dostępu do systemów teleinformatycznych i serwerów na których gromadzone są repozytoria dokumentacji medycznej i dane o zdarzeniach medycznych.</t>
  </si>
  <si>
    <t>2.5.</t>
  </si>
  <si>
    <t xml:space="preserve">Otwarcie placówek POZ w większych miejscowościach, w których takich przychodni nie ma.
Deficyty w zabezpieczeniu w powiatach bieszczadzkim, leskim, lubaczowskim. </t>
  </si>
  <si>
    <t>2.6.</t>
  </si>
  <si>
    <t>Wsparcie Nocnej i Świątecznej Opieki Zdrowotnej celem odciążenia systemu PRM.
Działanie może obejmować np. zmianę obszarów zabezpieczenia NIŚOZ, zmniejszenie ich lub zwiększenie liczby placówek/ zespołów w jednym obszarze.</t>
  </si>
  <si>
    <t>Odsetek wezwań karetek oraz wizyt na SOR z przyczyn słabo uzasadnionych medycznie</t>
  </si>
  <si>
    <t>2.7.</t>
  </si>
  <si>
    <t>Edukacja społeczeństwa celem odciążenia systemu PRM.</t>
  </si>
  <si>
    <t>3.</t>
  </si>
  <si>
    <t>Ambulatoryjna opieka specjalistyczna</t>
  </si>
  <si>
    <t>3.1.</t>
  </si>
  <si>
    <t>Liczba zakresów poradni specjalistycznych realizowanych w powiecie m. Krosno</t>
  </si>
  <si>
    <t>POW NFZ informator o zawartych kontraktach</t>
  </si>
  <si>
    <t>Liczba zakresów poradni specjalistycznych realizowanych w powiecie m.Przemysl</t>
  </si>
  <si>
    <t>Liczba zakresów poradni specjalistycznych realizowanych w powiecie m.Rzeszów</t>
  </si>
  <si>
    <t>Liczba zakresów poradni specjalistycznych realizowanych w powiecie m.Tarnobrzeg</t>
  </si>
  <si>
    <t>Liczba zakresów poradni specjalistycznych realizowanych w powiecie bieszczadzkim</t>
  </si>
  <si>
    <t>Liczba zakresów poradni specjalistycznych realizowanych w powiecie brzozowskim</t>
  </si>
  <si>
    <t>Liczba zakresów poradni specjalistycznych realizowanych w powiecie dębickim</t>
  </si>
  <si>
    <t>Liczba zakresów poradni specjalistycznych realizowanych w powiecie jarosławskim</t>
  </si>
  <si>
    <t>Liczba zakresów poradni specjalistycznych realizowanych w powiecie jasielskim</t>
  </si>
  <si>
    <t>Liczba zakresów poradni specjalistycznych realizowanych w powiecie kolbuszowskim</t>
  </si>
  <si>
    <t>Liczba zakresów poradni specjalistycznych realizowanych w powiecie krośnieńskim</t>
  </si>
  <si>
    <t>Liczba zakresów poradni specjalistycznych realizowanych w powiecie leskim</t>
  </si>
  <si>
    <t>Liczba zakresów poradni specjalistycznych realizowanych w powiecie leżajskim</t>
  </si>
  <si>
    <t>Liczba zakresów poradni specjalistycznych realizowanych w powiecie lubaczowskim</t>
  </si>
  <si>
    <t>Liczba zakresów poradni specjalistycznych realizowanych w powiecie łańcuckim</t>
  </si>
  <si>
    <t>Liczba zakresów poradni specjalistycznych realizowanych w powiecie mieleckim</t>
  </si>
  <si>
    <t>Liczba zakresów poradni specjalistycznych realizowanych w powiecie niżańskim</t>
  </si>
  <si>
    <t>Liczba zakresów poradni specjalistycznych realizowanych w powiecie przemyskim</t>
  </si>
  <si>
    <t>Liczba zakresów poradni specjalistycznych realizowanych w powiecie przeworskim</t>
  </si>
  <si>
    <t>Liczba zakresów poradni specjalistycznych realizowanych w powiecie ropcz.-sędziszowskim</t>
  </si>
  <si>
    <t>Liczba zakresów poradni specjalistycznych realizowanych w powiecie rzeszowskim</t>
  </si>
  <si>
    <t>Liczba zakresów poradni specjalistycznych realizowanych w powiecie sanockim</t>
  </si>
  <si>
    <t>Liczba zakresów poradni specjalistycznych realizowanych w powiecie stalowowolskim</t>
  </si>
  <si>
    <t>Liczba zakresów poradni specjalistycznych realizowanych w powiecie strzyżowskim</t>
  </si>
  <si>
    <t>Liczba zakresów poradni specjalistycznych realizowanych w powiecie tarnobrzeskim</t>
  </si>
  <si>
    <t>3.2.</t>
  </si>
  <si>
    <t>Doposażenie laboratoriów genetycznych, zwiększenie liczby udzielanych porad genetycznych oraz wykonywanych badań genetycznych (SOK)</t>
  </si>
  <si>
    <t>Liczba poradni genetycznych w województwie</t>
  </si>
  <si>
    <t xml:space="preserve">Liczba poradni gentycznych w województwie. </t>
  </si>
  <si>
    <t>Liczba udzielanych porad</t>
  </si>
  <si>
    <t>Liczba świadczeń (epizodów) udzielonych w poradniach genetycznych w woj. podkarpackim</t>
  </si>
  <si>
    <t>Liczba badań genetycznych</t>
  </si>
  <si>
    <t>Liczba wykonanych badań gentycznych w woj. podkarpackim (SOK)</t>
  </si>
  <si>
    <t>Poziom migracji poza teren województwa - porady</t>
  </si>
  <si>
    <t>Iloraz liczby świadczeń (epizodów) w poradni genetycznej zrealizowanych dla mieszkańców woj. podkarpackiego poza województwem/(sumę liczby świadczeń w poradni genetycznej zrealizowanych w woj. podkarpackim oraz poza województwem, ale na rzecz mieszkańców województwa podkarpackiego)</t>
  </si>
  <si>
    <t>Poziom migracji poza teren województwa - badania</t>
  </si>
  <si>
    <t>Iloraz liczby badań genetycznych zrealizowanych dla mieszkańców woj. podkarpackiego poza województwem/(sumę badań genetycznych zrealizowanych w woj. podkarpackim oraz poza województwem, ale na rzecz mieszkańców województwa podkarpackiego)</t>
  </si>
  <si>
    <t>3.3.</t>
  </si>
  <si>
    <t>Zwiększenie liczby poradni geriatrycznych oraz poprawa dostępności poradni specjalistycznych, z których w dużym odsetku korzystają osoby starsze (poradnia kardiologiczna, neurologiczna, diabetologiczna).</t>
  </si>
  <si>
    <t>Liczba poradni geriatrycznych</t>
  </si>
  <si>
    <t>Liczba poradni geriatrycznych posiadających kontrakt z NFZ</t>
  </si>
  <si>
    <t>Liczba świadczeń w AOS udzielanych seniorom</t>
  </si>
  <si>
    <t>Liczba świadczeń (epizodów) udzielonych w poradniach kardiologicznych, neurologicznych i diabetologicznych osobom w wieku 75 i więcej lat</t>
  </si>
  <si>
    <t>3.4.</t>
  </si>
  <si>
    <t>Rozszerzenie świadczeń KON-Pierś na pozostałe ośrodki onkologiczne.</t>
  </si>
  <si>
    <t>Liczba świadczeniodawców realizujących świadczenia KON-Pierś</t>
  </si>
  <si>
    <t>Liczba zawartych umów, informacja opublikowana w informatorze NFZ o zawartych umowach</t>
  </si>
  <si>
    <t>3.5.</t>
  </si>
  <si>
    <t>Rozszerzenie dostępności świadczenia KOS-zawał.</t>
  </si>
  <si>
    <t>Liczba świadczeniodawców realizujących świadczenia KOS-Zawał</t>
  </si>
  <si>
    <t>Udział procentowy pacjentów objętych opieką kompleksową</t>
  </si>
  <si>
    <t>Stosunek liczby osób objętych KOS-Zawał do liczby osób hospitalizowanych z rozpoznaniem I21</t>
  </si>
  <si>
    <t>3.6.</t>
  </si>
  <si>
    <t>Rozszerzenie dostępności świadczenia KON-JG.</t>
  </si>
  <si>
    <t>Liczba świadczeniodawców realizujących świadczenia KON-JG</t>
  </si>
  <si>
    <t>3.7.</t>
  </si>
  <si>
    <t>Zwiększenie dostępności do specjalistycznych świadczeń w zakresie dializoterapii</t>
  </si>
  <si>
    <t>Liczba ośrodków hemodializoterapii</t>
  </si>
  <si>
    <t>Liczba zawartych umów wraz z liczbą miejsc udzielania świadczeń, informacja opublikowana w informatorze NFZ o zawartych umowach</t>
  </si>
  <si>
    <t>Liczba stanowisk dializacyjnych</t>
  </si>
  <si>
    <t>Liczba stanowisk dializacyjnych ujętych w RPWDL w stacjach posiadających umowę z NFZ</t>
  </si>
  <si>
    <t>Liczba osób dializowanych</t>
  </si>
  <si>
    <t>Liczba osób z przewlekłą niewydolnoscią nerek leczonych ujętych w raportach statystycznych przekazanych przez świadczeniodacwów realizujacych świadczenia dializoterapii</t>
  </si>
  <si>
    <t>3.8.</t>
  </si>
  <si>
    <t>Zwiększenie dostępności do specjalistycznych świadczeń w zakresie scyntygrafii</t>
  </si>
  <si>
    <t>Liczba realizowanych badań izotopowych</t>
  </si>
  <si>
    <t>Liczba badań izotopowych zrealizowanych w woj. podkarpackim</t>
  </si>
  <si>
    <t>Udział procentowy badań zrealizowanych poza terenem województwa</t>
  </si>
  <si>
    <t>Iloraz liczby badań izotopowych zrealizowanych dla mieszkańców woj. podkarpackiego poza województwem/(sumę liczby badań izotopowych zrealizowanych w woj. podkarpackim oraz poza województwem, ale na rzecz mieszkańców województwa podkarpackiego)</t>
  </si>
  <si>
    <t>3.9.</t>
  </si>
  <si>
    <t>Liczba porad lekarza/pielęgniarki w stosunku do roku poprzedniego
Liczba porad AOS łącznie</t>
  </si>
  <si>
    <t>Liczba porad ujętych w raportach statystycznych przekazanych przez świadczeniodawców do POW NFZ</t>
  </si>
  <si>
    <t>Lecznictwo szpitalne</t>
  </si>
  <si>
    <t>4.1.</t>
  </si>
  <si>
    <t xml:space="preserve">Wsparcie dla działań skracających czas oczekiwania na świadczenia szpitalne określane jako pilne poprzez zwiększenie nakładów na finansowanie deficytowych świadczeń (endoprotezoplastyki stawów, hospitalizacje otolaryngologiczne, hospitalizacje jednodniowe dziecięce - okulistyka). </t>
  </si>
  <si>
    <t>Średnia liczba dni oczekiwania na świadczenia szpitalne określane jako pilne -
Endoprotezoplastyka stawu biodrowego</t>
  </si>
  <si>
    <t>Średni czas oczekiwania ustalony na podstawie raportów przekazanych przez świadczeniodawców posiadających umowy z POW NFZ</t>
  </si>
  <si>
    <t>Średnia liczba dni oczekiwania na świadczenia szpitalne określane jako pilne - 
Endoprotezoplastyka stawu kolanowego</t>
  </si>
  <si>
    <t>Średnia liczba dni oczekiwania na świadczenia szpitalne określane jako pilne - 
Oddział leczenia jednego dnia dla dzieci</t>
  </si>
  <si>
    <t>Średnia liczba dni oczekiwania na świadczenia szpitalne określane jako pilne - 
Przezskórne lub z innego dostepu wszczepianie zastawek serca</t>
  </si>
  <si>
    <t>Średnia liczba dni oczekiwania na świadczenia szpitalne określane jako pilne - 
Operacja wad sercai aorty piersiowej w krążeniu pozaustrojowym</t>
  </si>
  <si>
    <t>Średnia liczba dni oczekiwania na świadczenia szpitalne określane jako pilne - 
Oddział otorynolaryngologiczny</t>
  </si>
  <si>
    <t>4.2.</t>
  </si>
  <si>
    <t>Wsparcie dla działań skracających czas oczekiwania na świadczenia szpitalne określane jako stabilne poprzez kontraktowanie świadczeń.</t>
  </si>
  <si>
    <t>Średnia liczba dni oczekiwania na świadczenia szpitalne określane jako stabilne - 
Oddział chirurgii urazowo-ortopedycznej</t>
  </si>
  <si>
    <t>Średnia liczba dni oczekiwania na świadczenia szpitalne określane jako stabilne - Endoprotezoplastyka stawu biodrowego</t>
  </si>
  <si>
    <t>Średnia liczba dni oczekiwania na świadczenia szpitalne określane jako stabilne - 
Endoprotezoplastyka stawu kolanowego</t>
  </si>
  <si>
    <t>Średnia liczba dni oczekiwania na świadczenia szpitalne określane jako stabilne - 
Operacje usunięcia żylaków kończyny dolnej</t>
  </si>
  <si>
    <t xml:space="preserve">Udział procentowy hospitalizacji zabiegowych w oddziałach chirurgii ogólnej </t>
  </si>
  <si>
    <t>Dane POW NFZ w Rzeszowie z wykonania kontraktów</t>
  </si>
  <si>
    <t>Udział procentowy hospitalizacji zabiegowych w oddziałach chirurgii i urazowo-ortopedycznej.</t>
  </si>
  <si>
    <t>4.3.</t>
  </si>
  <si>
    <t>Utworzenie wielospecjalistycznego szpitala dziecięcego na bazie istniejących zasobów klinicznych Podkarpackiego Centrum Zdrowia Dziecka, funkcjonującego w obrębie Klinicznego Szpitala Wojewódzkiego nr 2 w Rzeszowie.</t>
  </si>
  <si>
    <t>Liczba zakresów specjalistycznych oddziałów dziecięcych  funkcjonujących w nowo powstałym centrum (zakładany wzrost)</t>
  </si>
  <si>
    <t>Rejest Podmiotow Wykonujących Dzialalność Leczniczą (RPWDL), informator o zawartych kontraktach POW NFZ</t>
  </si>
  <si>
    <t>Liczba dzieci uzyskujących planowe świadczenie szpitalne poza województwem (zakładany spadek)</t>
  </si>
  <si>
    <t>Dane POW NFZ w Rzeszowie</t>
  </si>
  <si>
    <t>Wskaźnik hospitalizacji na 100 tys. pacjentów 0-17 lat w województwie:
- kardiologia dziecięca,
- choroby płuc dzieci,
- nefrologia dziecięca.</t>
  </si>
  <si>
    <t xml:space="preserve">  134,1
2 929,1
  197,2</t>
  </si>
  <si>
    <t>125,6
2 705,7
132,2</t>
  </si>
  <si>
    <t>133,55
2 874,52
154,21</t>
  </si>
  <si>
    <t>162,2
3353,62
149,06</t>
  </si>
  <si>
    <t>246,7
4 978,5
243,2</t>
  </si>
  <si>
    <t>Zakładany analogiczny wzrost o 84%</t>
  </si>
  <si>
    <t>4.4.</t>
  </si>
  <si>
    <t>Zwiększenie dostępności OAiT dla dzieci do referencyjnej wartości 2% łóżek tj. do 25 przy zachowaniu równomiernego dostępu geograficznego poprzez rozwinięcie aktualnych zasobów.</t>
  </si>
  <si>
    <t>Liczba stanowisk OAiIT dla dzieci w województwie</t>
  </si>
  <si>
    <t>Liczba stanowisk ujęta w RPWDL i umowach z NFZ</t>
  </si>
  <si>
    <t>4.5.</t>
  </si>
  <si>
    <t>W ramach Podkarpackiego Centrum Zdrowia Dziecka utworzenie Ośrodka koordynującego opiekę perinatalną oraz elektroniczną ewidencją wcześniaków (bazę teleinformatyczną), która umożliwi i znacznie usprawni, w sytuacji tego wymagającej, przekierowanie potrzebujących  pacjentek/dzieci do Ośrodka z placówek o niższym poziomie referencyjności.</t>
  </si>
  <si>
    <t>Umieralność niemowląt  - miasto</t>
  </si>
  <si>
    <t>Umieralność niemowląt - wieś</t>
  </si>
  <si>
    <t>4.6.</t>
  </si>
  <si>
    <t>Wsparcie dla szpitali oraz organów tworzących w zmianach oferty leczniczej zgodnie z potrzebami zdrowotnymi mieszkańców poprzez tworzenie oddziałów geriatrycznych, w miejsce oddziałów, w których jest niskie obłożenie łóżek.</t>
  </si>
  <si>
    <t>Liczba łóżek w oddziałach geriatrycznych</t>
  </si>
  <si>
    <t>Liczba łóżek ujęta w RPWDL i umowach z NFZ</t>
  </si>
  <si>
    <t>Liczba pacjentów hospitalizowanych w oddziałach geriatrycznych</t>
  </si>
  <si>
    <t>Liczba osób dla których w raportach statystycznych przekazanych przez świadczeniodacwó do NFZ sprawozdano hospitalizację w oddziale geriatrii</t>
  </si>
  <si>
    <t>4.7.</t>
  </si>
  <si>
    <t>Wsparcie dla szpitali oraz organów tworzących w zmianach oferty leczniczej zgodnie z potrzebami zdrowotnymi mieszkańców poprzez tworzenie zakładów opiekuńczo-leczniczych i oddziałów medycyny paliatywnej lub hospicjów stacjonarnych, w miejsce oddziałów, w których jest niskie obłożenie łóżek.</t>
  </si>
  <si>
    <t>Liczba nowouruchomionych łóżek w Zakładach Opiekuńczo-Leczniczych</t>
  </si>
  <si>
    <t>Liczba łóżek w  nowoutworzonych zakładach ujęta w RPWDL i umowach z NFZ</t>
  </si>
  <si>
    <t>Liczba nowouruchomionych łóżek w hospicjach stacjonarnych</t>
  </si>
  <si>
    <t>4.8.</t>
  </si>
  <si>
    <t>Profilowanie działalności szpitali regionu bieszczadzkiego (powiaty sanocki, leski i bieszczadzki)  z ewentualnym rozszerzeniem o powiat brzozowski w kierunku lepsze wykorzystania bazy łóżkowej i kadry medycznej.</t>
  </si>
  <si>
    <t>SP ZOZ Lesko -  obłożenie</t>
  </si>
  <si>
    <t>MZ-29, BASiW leczenie szpitalne</t>
  </si>
  <si>
    <t>SP ZOZ Lesko -  średni pobyt</t>
  </si>
  <si>
    <t>SP ZOZ Sanok - obłożenie</t>
  </si>
  <si>
    <t>SP ZOZ Sanok - średni pobyt</t>
  </si>
  <si>
    <t>SP ZOZ Ustrzyki Dolne - obłożenie</t>
  </si>
  <si>
    <t>SP ZOZ Ustrzyki Dolne - średni pobyt</t>
  </si>
  <si>
    <t>4.9.</t>
  </si>
  <si>
    <t>Rozwój istniejących pełnoprofilowych ośrodków onkologicznych.</t>
  </si>
  <si>
    <t>Liczba ośrodków realizujących opiekę kompleksową</t>
  </si>
  <si>
    <t>Liczba świadczeniodawców posiadających umowy z NFZ w zakresie opieki kompleksowej KON-Pierś i KON-JG</t>
  </si>
  <si>
    <t>Udział procentowy pacjentów onkologicznych objętych opieką kompleksową KON-Pierś</t>
  </si>
  <si>
    <t>Liczba osób leczonych operacyjnie z powodu nowotowrów piersi  objetych opieką kompleksową w stosnku do liczby osób leczonych ogółem. Na podstawie danych ujetych w raportach statystycznych przekzanych przez świadczeniodawców do NFZ</t>
  </si>
  <si>
    <t>Udział procentowy pacjentów onkologicznych objętych opieką kompleksową KON-JG</t>
  </si>
  <si>
    <t>Liczba osób leczonych operacyjnie z powodu nowotowrów  jelita grupego objetych opieką kompleksową w stosnku do liczby osób leczonych ogółem. Na podstawie danych ujetych w raportach statystycznych przekzanych przez świadczeniodawców do NFZ</t>
  </si>
  <si>
    <t>4.10.</t>
  </si>
  <si>
    <t>Zwiększenie liczby łóżek i liczby wykonywanych zabiegów w zakresie chirurgii onkologicznej.</t>
  </si>
  <si>
    <t>Liczba osób hospitalizowanych w oddziałach chirurgii onkologicznej</t>
  </si>
  <si>
    <t>Liczba hospitalizacji ujętych w raportach statystycznych przekazanych przez świadczeniodaców do NFZ</t>
  </si>
  <si>
    <t>Liczba zabiegów operacyjnych z zakresu chirurgii onkologicznej</t>
  </si>
  <si>
    <t>Liczba hospitalizacji ujętych w raportach statystycznych przekazanych przez świadczeniodacwów do NFZ rozliczonych grupą JGP oznaczoną jako zabiegowa</t>
  </si>
  <si>
    <t>Udział procentowy hospitalizacji chirurgii onkologicznej realizowanych poza terenem województwa</t>
  </si>
  <si>
    <t>Liczba świadczeń ujętych w raportach statystycznych świadczeniodawców poza województwem/ (liczba świadczeń poza województwem + liczba świadczen w województwie)</t>
  </si>
  <si>
    <t>4.11.</t>
  </si>
  <si>
    <t>Zwiększenie liczby łóżek w zakresie hematologii.</t>
  </si>
  <si>
    <t>Liczba osób hospitalizowanych w oddziałach hematologicznych</t>
  </si>
  <si>
    <t>Liczba hospitalizacji ujętych w raportach statystycznych przekazanych przez świadczeniodacwó do NFZ</t>
  </si>
  <si>
    <t>Udział procentowy hospitalizacji hematologicznych realizowanych poza terenem województwa</t>
  </si>
  <si>
    <t>4.12.</t>
  </si>
  <si>
    <t>Utworzenie oddziału endokrynologii z możliwością diagnozowania nowotworów gruczołów wydzielania wewnętrznego.</t>
  </si>
  <si>
    <t>Liczba hospitalizacji w oddziałach endokrynologicznych</t>
  </si>
  <si>
    <t>Liczba hospitalizacji ujętych w raportach statystycznych przekazanych przez świadczeniodawców do NFZ</t>
  </si>
  <si>
    <t>Udział procentowy migracji w tym zakresie poza teren województwa</t>
  </si>
  <si>
    <t>Liczba hospitalizacji poza województwem/(Liczba hospitalizacji poza województwem+Liczba hospitalizacji ujętych w raportach statystycznych przekazanych przez świadczeniodawców do NFZ)</t>
  </si>
  <si>
    <t>4.13.</t>
  </si>
  <si>
    <t>Zwiększenie możliwości operacyjnych w zakresie nowotworów głowy i szyi leczonych w oddziałach otolaryngologii oraz w zakresie nowotworów układu nerwowego leczonych w oddziałach neurochirurgii.</t>
  </si>
  <si>
    <t>Liczba zabiegów operacyjnych w zakresie otolaryngologii</t>
  </si>
  <si>
    <t>Liczba hospitalizacji rozliczonych z zastosowaniem grupy JGP zabiegowej</t>
  </si>
  <si>
    <t>Liczba zabiegów operacyjnych w zakresie  neurochirurgii</t>
  </si>
  <si>
    <t>Procentowy udział hospitalizacji zabiegowych w oddziałach otolaryngologii</t>
  </si>
  <si>
    <t>Liczba hospitalizacji rozliczonych z zastosowaniem grupy JGP zabiegowej w stosunku do liczby wszystkich hospitalizacji ujętych w raportach statystycznych przeekazanych przez świadczeniodawców do NFZ</t>
  </si>
  <si>
    <t>Procentowy udział hospitalizacji otolaryngologicznych realizowanych poza terenem województwa</t>
  </si>
  <si>
    <t>Liczba świadczeń ujętych w raportach statystycznych świadczeniodawców poza województwem/ (liczba świadczeń poza województwem + liczba świadczeń w województwie)</t>
  </si>
  <si>
    <t>Procentowy udział hospitalizacji  neurochirurgicznych realizowanych poza terenem województwa</t>
  </si>
  <si>
    <t>4.14.</t>
  </si>
  <si>
    <t xml:space="preserve">Budowa nowego Szpitala Uniwersyteckiego o profilu onkologiczno-zabiegowym oraz sukcesywne zwiększanie lub modernizowanie istniejących zasobów infrastrukturalnych. Szpital zostanie utworzony w oparciu o bazę Klinicznego Szpitala Wojewódzkiego nr 1 w Rzeszowie. </t>
  </si>
  <si>
    <t>Liczba hospitalizacji pacjentów ze schorzeniami nowotworowymi</t>
  </si>
  <si>
    <t>Liczba osób ujętych w raportach statystycznych przekazanych przez świadczeniodawcę do NFZ</t>
  </si>
  <si>
    <t>Liczba zabiegów operacyjnych</t>
  </si>
  <si>
    <t>Liczba świadczeń ujętych w raportach statystycznych u osób dla których rozpoznanie główne rozpopczyna się od C, rozliczonych grupami JGP zabiegowymi</t>
  </si>
  <si>
    <t>Liczba  osób poddanych chemioterapii</t>
  </si>
  <si>
    <t xml:space="preserve">Liczba radioterapii </t>
  </si>
  <si>
    <t>Procentowy udział leczenia w zakresach onkologicznych poza terenem województwa</t>
  </si>
  <si>
    <t>Liczba świadczeń ujętych w raportach statystycznych świadczeniodawców poza województwem/( liczba świadczeń poza województwem + liczba świadczeń w województwie)</t>
  </si>
  <si>
    <t>4.15.</t>
  </si>
  <si>
    <t>Utworzenie drugiego oddziału kardiochirurgii, poprawa koordynacji pomiędzy oddziałami kardiologii, pracowniami hemodynamiki i oddziałami kardiochirurgii.</t>
  </si>
  <si>
    <t>Liczba realizowanych zabiegów kardiochirurgicznych, w tym szczególnie w zakresie naczyń wieńcowych</t>
  </si>
  <si>
    <t>Liczba osób ujęta w raportach statystycznych przekazanych przez świadczeniodacwów - poprawnie zweryfikowanych</t>
  </si>
  <si>
    <t>Procentowy udział hospitalizacji kardiochirurgicznych realizowanych poza terenem województwa</t>
  </si>
  <si>
    <t>liczba świadczeń kardiochirurgiczych dla doroslych realizowanych poza województwem / łączna liczba świadczeń dla doroslych w województwie i poza nim</t>
  </si>
  <si>
    <t>4.16.</t>
  </si>
  <si>
    <t>Zwiększenie możliwości leczenia z użyciem ECMO (epidemia Covid-19 spowodowała zwiększenie liczby przypadków wymagających leczenia z użyciem ECMO, wskazane zwiększenie liczby stanowisk ECMO w celu uniknięcia konieczności transportu do ośrodków poza województwem podkarpackim).</t>
  </si>
  <si>
    <t>Liczba osób leczonych z użyciem ECMO</t>
  </si>
  <si>
    <t>Liczba osób ujęta w raportach statystycznych przekazanych przez świadczeniodawców</t>
  </si>
  <si>
    <t>4.17.</t>
  </si>
  <si>
    <t>Zwiększenie liczby podmiotów realizujących kompleksową opiekę KOS-Zawał.</t>
  </si>
  <si>
    <t>Udział procentowy pacjentów z zawałem serca objętych opieką kompleksową</t>
  </si>
  <si>
    <t>4.18.</t>
  </si>
  <si>
    <t>Zwiększenie możliwości leczenia pacjentów z udarem mózgu.</t>
  </si>
  <si>
    <t>Liczba pacjentów leczonych w oddziałach/pododdziałach udarowych</t>
  </si>
  <si>
    <t>Liczba świadczeń ujęta w raportach statystycznych przekazywanych przez świadczeniodawców posiadających umowy z NFZ</t>
  </si>
  <si>
    <t>Udział procentowy pacjentów z udarem mózgu hospitalizowanych w oddziałach udarowych</t>
  </si>
  <si>
    <t>Liczba świadczeń ujęta w raportach statystycznych przekazywanych przez świadczeniodawców posiadających umowy z NFZ. Liczba osób u których rozliczono świadczenia JGP A48 w stostunku do wszystkich leczonych z udarem tj. zakwalifikowanych do rozliczenia grupami A48,A49 i A50</t>
  </si>
  <si>
    <t>Liczba pacjentów poddanych trombektomii mechanicznej</t>
  </si>
  <si>
    <t>4.19.</t>
  </si>
  <si>
    <t>Wspieranie inicjatyw lokalnych przyczyniających się do obniżenia wskaźnika zakażeń szpitalnych m. in. poprzez organizację szkoleń dla personelu.</t>
  </si>
  <si>
    <t>Liczba szkoleń pracowników ochrony zdrowia</t>
  </si>
  <si>
    <t>WSSE w Rzeszowie</t>
  </si>
  <si>
    <t>Liczba przeszkolonych pracowników ochrony zdrowia</t>
  </si>
  <si>
    <t>4.20.</t>
  </si>
  <si>
    <t>Sukcesywne podnoszenie poziomu infrastruktury szpitalnej zwłaszcza w obrębie onkologii, kardiologii, kardiochirurgii, OAiT z zapewnieniem równomiernego dostępu geograficznego do świadczeń.
Dostosowanie pomieszczeń i urządzeń podmiotów leczniczych do obowiązujących standardów.</t>
  </si>
  <si>
    <t>Liczba zmodernizowanych łóżek w oddziałach</t>
  </si>
  <si>
    <t>Deklaracje od kierujących szpitalami.</t>
  </si>
  <si>
    <t>Liczba osób uzyskujących planowe świadczenia szpitalne poza województwem</t>
  </si>
  <si>
    <t>Liczba pacjentów leczonych poza województwem w rodzaju leczenie szpitalne bez uzględnienia SOR i izby przyjęć, typ zestawu świadczeń - stacjonarny. Analiza świadczeń POW NFZ.</t>
  </si>
  <si>
    <t>5.</t>
  </si>
  <si>
    <t>Opieka psychitryczna ileczenie uzaleznień</t>
  </si>
  <si>
    <t>5.1.</t>
  </si>
  <si>
    <t>Utworzenie kolejnych CZP na bazie istniejących już oddziałów psychiatrycznych.</t>
  </si>
  <si>
    <t>Liczba CZP realizujących świadczenia w ramach pilotażu</t>
  </si>
  <si>
    <t>Odsetek populacji województwa objętych opieką CZP</t>
  </si>
  <si>
    <t>5.2.</t>
  </si>
  <si>
    <t>Zwiększenie liczby łóżek oddziałów psychiatrycznych w m. Rzeszowie (do co najmniej 75 łóżek) jako podstawa utworzenia dwóch CZP dla m. Rzeszowa i powiatu rzeszowskiego.</t>
  </si>
  <si>
    <t>Liczba łóżek ogólnopsychiatrycznych na terenie miasta Rzeszowa</t>
  </si>
  <si>
    <t>NFZ Liczba ustalona na podstawie zakontraktowanej liczby punktów z uwzględnieniem wskaźnika średniej wagi punktowej osobodnia</t>
  </si>
  <si>
    <t>Liczba CZP działających na terenie m. Rzeszowa i powiatu rzeszowskiego</t>
  </si>
  <si>
    <t>5.3.</t>
  </si>
  <si>
    <t>Utworzenie nowych oddziałów psychiatrycznych jako podstawa tworzenia CZP w powiatach, gdzie brak takich form opieki.</t>
  </si>
  <si>
    <t>5.4.</t>
  </si>
  <si>
    <t>Zmiana struktury oddziałów psychiatrycznych (ogólnych) w dużych szpitalach psychiatrycznych z przekształceniem w deficytowe specjalności: psychiatria sądowa o podstawowym i wzmocnionym zabezpieczeniu, leczenie nerwic, leczenie uzależnień od substancji psychotropowych, ZOL psychiatryczny</t>
  </si>
  <si>
    <t>Jarosław- Liczba łóżek oddziałów psychiatrycznych i leczenia uzależnień w specjalnościach deficytowych</t>
  </si>
  <si>
    <t>RPWDL, informator o zawartych kontraktach 
POW NFZ</t>
  </si>
  <si>
    <t>Żurawica - Liczba łóżek oddziałów psychiatrycznych i leczenia uzależnień w specjalnościach deficytowych</t>
  </si>
  <si>
    <t>Dębica - Liczba łóżek oddziałów psychiatrycznych i leczenia uzależnień w specjalnościach deficytowych</t>
  </si>
  <si>
    <t>ZOL psychiatryczny - Liczba łóżek</t>
  </si>
  <si>
    <t>2026r. na podst. prognozy ludności gmin na lata 2017–2030 wg GUS</t>
  </si>
  <si>
    <t>5.5.</t>
  </si>
  <si>
    <t>Wspieranie działań zmierzających do rozwoju kadry psychiatrycznej ze szczególnym uwzględnieniem lekarzy. poprzez zwiększenie liczby miejsc specjalizacyjnych w zakresie psychiatrii i psychiatrii dziecięcej, sformułowanie regionalnego programu rozwoju kadr psychiatrycznych, wzmocnienie zaangażowania Uniwersytetu Rzeszowskiego, zwiększenie liczby psychologów i psychoterapeutów.</t>
  </si>
  <si>
    <t>Lekarze psychiatrzy - Liczba realizujących świadczenia gwarantowane</t>
  </si>
  <si>
    <t>Dane POW NFZ o potencjele kadrowym podmiotów leczniczych realizujących kontrakty, BASiW</t>
  </si>
  <si>
    <t>Lekarze psychiatrzy dziecięcy - Liczba realizujących świadczenia gwarantowane</t>
  </si>
  <si>
    <t>Psycholodzy kliniczni - Liczba realizujących świadczenia gwarantowane</t>
  </si>
  <si>
    <t>Psychoterapeuci - Liczba realizujących świadczenia gwarantowane</t>
  </si>
  <si>
    <t>5.6.</t>
  </si>
  <si>
    <t>Rozwijanie sieci poradni psychologiczno-psychoterapeutycznych dla dzieci i młodzieży w powiatach, w których takie poradnie jeszcze nie funkcjonują, a także opieki dziennej i środowiskowej, zgodnie z założeniami reformy psychiatrii dzieci i młodzieży.</t>
  </si>
  <si>
    <t>OŚRODEK ŚRODOWISKOWEJ OPIEKI PSYCHOLOGICZNEJ I PSYCHOTERAPEUTYCZNEJ DLA DZIECI I MŁODZIEŻY - I POZIOM REFERENCYJNY - Liczba ośrodków środowiskowej opieki psychologicznej i psychoterapeutycznej dla dzieci i młodzieży</t>
  </si>
  <si>
    <t>OŚRODEK ŚRODOWISKOWEJ OPIEKI PSYCHOLOGICZNEJ I PSYCHOTERAPEUTYCZNEJ DLA DZIECI I MŁODZIEŻY - I POZIOM REFERENCYJNY - Liczba udzielonych porad</t>
  </si>
  <si>
    <t>Raporty dla POW NFZ z wykonania świadczeń</t>
  </si>
  <si>
    <t>OŚRODEK ŚRODOWISKOWEJ OPIEKI PSYCHOLOGICZNEJ I PSYCHOTERAPEUTYCZNEJ DLA DZIECI I MŁODZIEŻY - I POZIOM REFERENCYJNY - Liczba osób objętych opieką</t>
  </si>
  <si>
    <t>CENTRUM ZDROWIA PSYCHICZNEGO DLA DZIECI I MŁODZIEŻY - II POZIOM REFERENCYJNY, CENTRUM ZDROWIA PSYCHICZNEGO DLA DZIECI I MŁODZIEŻY - PORADNIA ZDROWIA PSYCHICZNEGO - II POZIOM REFERENCYJNY - Liczba ośrodków CZP dla Dzieci i Młodzieży II poziomu</t>
  </si>
  <si>
    <t>Informator o zawartych kontraktach z POW NFZ</t>
  </si>
  <si>
    <t>CENTRUM ZDROWIA PSYCHICZNEGO DLA DZIECI I MŁODZIEŻY - II POZIOM REFERENCYJNY, CENTRUM ZDROWIA PSYCHICZNEGO DLA DZIECI I MŁODZIEŻY - PORADNIA ZDROWIA PSYCHICZNEGO - II POZIOM REFERENCYJNY - Liczba dzieci i młodzieży pozostających pod opieką CZP dla Dzieci i Młodzieży II poziomu</t>
  </si>
  <si>
    <t>CENTRUM ZDROWIA PSYCHICZNEGO DLA DZIECI I MŁODZIEŻY - II POZIOM REFERENCYJNY, CENTRUM ZDROWIA PSYCHICZNEGO DLA DZIECI I MŁODZIEŻY - PORADNIA ZDROWIA PSYCHICZNEGO - II POZIOM REFERENCYJNY - Liczba świadczeń udzielonych pacjentom CZP dla Dzieci i Młodzieży II poziomu.</t>
  </si>
  <si>
    <t>OŚRODEK WYSOKOSPECJALISTYCZNEJ CAŁODOBOWEJ OPIEKI PSYCHIATRYCZNEJ - III POZIOM REFERENCYJNY - Liczba miejsc/oodziałów CZP dla Dzieci i Młodzieży III poziomu</t>
  </si>
  <si>
    <t>OŚRODEK WYSOKOSPECJALISTYCZNEJ CAŁODOBOWEJ OPIEKI PSYCHIATRYCZNEJ - III POZIOM REFERENCYJNY - Liczba osób objętych opieką</t>
  </si>
  <si>
    <t>OŚRODEK WYSOKOSPECJALISTYCZNEJ CAŁODOBOWEJ OPIEKI PSYCHIATRYCZNEJ - III POZIOM REFERENCYJNY - Liczba miejsc/łóżek</t>
  </si>
  <si>
    <t xml:space="preserve">24 (rpwdl) </t>
  </si>
  <si>
    <t>RPWDL, informator o zawartych kontraktach POW NFZ</t>
  </si>
  <si>
    <t>5.7.</t>
  </si>
  <si>
    <t>Niezbędne jest powstanie jednego lub dwóch oddziałów psychiatrycznych dla dzieci z rozdzieleniem grup wiekowych dzieci młodszych i młodzieży.</t>
  </si>
  <si>
    <t>Konieczne jest utworzenie kolejnego oddziału psychiatrii dziecięcej liczącego co najmniej 20 łóżek</t>
  </si>
  <si>
    <t>Migracja pacjentów</t>
  </si>
  <si>
    <t>Liczba skarg do Rzecznika Praw Pacjenta.</t>
  </si>
  <si>
    <t>Informacja z Biurza Rzecznika Praw Pacjenta</t>
  </si>
  <si>
    <t>5.8.</t>
  </si>
  <si>
    <t xml:space="preserve">Utworzenie oddziału leczenia zaburzeń nerwicowych dla dzieci i młodzieży ze specjalizacją w zakresie leczenia zaburzeń odżywiania. </t>
  </si>
  <si>
    <t>Liczba dzieci i młodzieży leczonych w oddziale leczenia nerwic</t>
  </si>
  <si>
    <t>Raporty dla POW NFZ z wykonania świadczeńń</t>
  </si>
  <si>
    <t>5.9.</t>
  </si>
  <si>
    <t>Utworzenie ośrodka kompleksowego leczenia uzależnień od substancji psychotropowych, w tym oddziału krótkoterminowej terapii, leczenia zespołów abstynencyjnych, rehabilitacyjnego dla uzależnionych od substancji psychotropowych, dla uzależnionych ze współistniejącymi zaburzeniami psychotycznymi (podwójna diagnoza).</t>
  </si>
  <si>
    <t>Liczba miejsc w oddziałach leczenia uzależnień od substancji psychoaktywnych</t>
  </si>
  <si>
    <t>Liczba miejsc zarejestrowana w RPWDL u świadczeniodawców posiadających umowy z NFZ</t>
  </si>
  <si>
    <t>Liczba osobodni terapii w tych oddziałach</t>
  </si>
  <si>
    <t>Liczba osobodni ustalona na podstawie raportów statystycznych przekazanych przez świadczeniodacwów</t>
  </si>
  <si>
    <t>Udział procentowy hospitalizacji poza terenem województwa.</t>
  </si>
  <si>
    <t>Liczba hospitalizacji pacjentów leczonych poza województwem / liczba leczonych razem: w województwie i poza nim</t>
  </si>
  <si>
    <t>5.10.</t>
  </si>
  <si>
    <t>Utworzenie poradni leczenia substytucyjnego</t>
  </si>
  <si>
    <t>Liczba osób korzystających z terapii substytucyjnej</t>
  </si>
  <si>
    <t>Liczba osób którym udzielono świadczeń ujętych w raportach statystycznych przekazanych do NFZ</t>
  </si>
  <si>
    <t>Liczba udzielonych porad</t>
  </si>
  <si>
    <t>Liczba udzielonych świadczeń ujętych w raportach statystycznych przekazanych do NFZ</t>
  </si>
  <si>
    <t>5.11.</t>
  </si>
  <si>
    <t>Utworzenie hosteli dla uzależnionych od alkoholu oraz substancji psychotropowych</t>
  </si>
  <si>
    <t>Liczba miejsc w hostelach dla osób uzależnionych</t>
  </si>
  <si>
    <t>Liczba osobodni pobytu</t>
  </si>
  <si>
    <t>5.12.</t>
  </si>
  <si>
    <t xml:space="preserve">Wsparcie dla działań zmierzających do rozwoju kadr psychiatrii dzieci i młodzieży.
Zwiększenie liczby miejsc szkoleniowych (zainteresowanie specjalizacją przewyższa liczbę miejsc szkoleniowych w województwie). </t>
  </si>
  <si>
    <t>Liczba psychiatrów dziecięcych</t>
  </si>
  <si>
    <t>POW NFZ w Rzeszowie - informacja o potencjale kadrowym podmiotów leczniczych realizujacych kontrakt</t>
  </si>
  <si>
    <t>Liczba psychoterapeutów pracujących w ośrodkach dla dzieci i młodzieży</t>
  </si>
  <si>
    <t>Liczba psychologów pracujących w ośrodkach dla dzieci i młodzieży</t>
  </si>
  <si>
    <t>6.</t>
  </si>
  <si>
    <t>Rehabilitacja medyczna</t>
  </si>
  <si>
    <t>6.1.</t>
  </si>
  <si>
    <t>Zwiększenie liczby łózek w oddziałach rehabilitacji ogólnoustrojowej dla dorosłych i dzieci, rehabilitacji neurologicznej i pulmonologicznej poprzez zwiększenie liczby łóżek stacjonarnej rehabilitacji o około 150 łóżek. Nowe łóżka rehabilitacyjne powstaną w większości poprzez przeprofilowanie słabo wykorzystanej infrastruktury łóżkowej.</t>
  </si>
  <si>
    <t>Rehabilitacja ogólnoustrojowa dla dorosłych i dzieci - Przeciętny czas oczekiwania na świadczenia pilne</t>
  </si>
  <si>
    <t>Raporty z wykonania kontraktów dla POW NFZ w Rzeszowie</t>
  </si>
  <si>
    <t>Rehabilitacja ogólnoustrojowa dla dorosłych i dzieci - Przeciętny czas oczekiwania na świadczenia stabilne</t>
  </si>
  <si>
    <t>Rehabilitacja ogólnoustrojowa dla dorosłych i dzieci - Liczba łóżek rehabilitacji stacjonarnej</t>
  </si>
  <si>
    <t>Zakładany wzrost o 100 (wzrost o 150 łóżek we wszystkich rodzajach rehabilitacji stacjonarnej),
448 łóżek w stacjonarnej rehabilitacji ogólnej (dla dorosłych i dla dzieci) wg MZ-29 na koniec 2019 r.</t>
  </si>
  <si>
    <t>Rehabilitacja neurologiczna - Przeciętny czas oczekiwania na świadczenia pilne</t>
  </si>
  <si>
    <t>Średnia ze średnich czasów oczekiwania w dniach z ostatnich trzech miesięcy.</t>
  </si>
  <si>
    <t>Rehabilitacja neurologiczna - Przeciętny czas oczekiwania na świadczenia stabilne</t>
  </si>
  <si>
    <t>Rehabilitacja neurologiczna - Liczba łóżek rehabilitacji stacjonarnej</t>
  </si>
  <si>
    <t>Rehabilitacja pulmonologiczna - Przeciętny czas oczekiwania na świadczenia pilne</t>
  </si>
  <si>
    <t>Rehabilitacja pulmonologiczna - Przeciętny czas oczekiwania na świadczenia stabilne</t>
  </si>
  <si>
    <t>Rehabilitacja pulmonologiczna - Liczba łóżek rehabilitacji stacjonarnej</t>
  </si>
  <si>
    <t>6.2.</t>
  </si>
  <si>
    <t>Uzupełnienie działalności ośrodków onkologicznych (Rzeszów, Brzozów, Tarnobrzeg, Przemyśl) o utworzenie lub przeprofilowanie ośrodków rehabilitacji dziennej i ambulatoryjnej sprofilowanych w kierunku udzielania świadczeń rehabilitacyjnych dla pacjentów onkologicznych.</t>
  </si>
  <si>
    <t>Liczba pacjentów onkologicznych objętych rehabilitacją dzienną i ambulatoryjną</t>
  </si>
  <si>
    <t>Liczba pacjentów z rozpoznaniem C00-D48 objętych świadczeniami rehabilitacji ambulatoryjnej lub dziennej</t>
  </si>
  <si>
    <t>6.3.</t>
  </si>
  <si>
    <t>Poprawa dostępu do świadczeń dziennych oddziałów rehabilitacji dzieci niepełnosprawnych poprzez utworzenie nowych ośrodków w powiatach: dębickim, przeworskim i leżajskim, w których ośrodki takie nie funkcjonują.</t>
  </si>
  <si>
    <t>Liczba powiatów objętych opieką dziennych oddziałów rehabilitacji dzieci niepełnosprawnych</t>
  </si>
  <si>
    <t>Liczba powiatów na terenie których zlokalizowane są oddziały rehabilitacji dziennej dzieci niepełnosprawnych</t>
  </si>
  <si>
    <t>Liczba oddziałów dziennych rehabilitacji dzieci</t>
  </si>
  <si>
    <t>Liczba oddziałów w których udzielane są świadczenia w ramach umów z NFZ</t>
  </si>
  <si>
    <t>6.4.</t>
  </si>
  <si>
    <t>Kontraktowanie kompleksowych usług rehabilitacyjnych dla pacjentów po przebytej chorobie Covid-19</t>
  </si>
  <si>
    <t>Liczba udzielonych świadczeń</t>
  </si>
  <si>
    <t>Czas oczekiwania na świadczenia pilne</t>
  </si>
  <si>
    <t>Średnia ze średnich czasów oczekiwania w dniach z ostatnich trzech miesięcy w rehabilitacji pulmonologicznej.</t>
  </si>
  <si>
    <t>Czas oczekiwania na świadczenia stabilne</t>
  </si>
  <si>
    <t>7.</t>
  </si>
  <si>
    <t>Opieka długoterminowa</t>
  </si>
  <si>
    <t>7.1.</t>
  </si>
  <si>
    <t>Utworzenie nowych zakładów opiekuńczo-leczniczych lub pielęgnacyjno-opiekuńczych w powiatach, w których nie ma takiego obiektu: brzozowskim, krośnieńskim, leskim, leżajskim, przeworskim i niżańskim).</t>
  </si>
  <si>
    <t>Liczba miejsc w ZOL/ZPO w województwie podkarpackim i poszczególnych powiatach, w tym liczba miejsc powstałych na skutek przekształcenia łóżek w szpitalach o niskim obłożeniu</t>
  </si>
  <si>
    <t>Utrzymanie trendu wzrostowego z lat 2022-2023 (wg MZ-29A)</t>
  </si>
  <si>
    <t>Średni czas oczekiwania na przyjęcie do ZOL/ZPO - przypadki stabilne</t>
  </si>
  <si>
    <t xml:space="preserve">Prognoza POW NFZ </t>
  </si>
  <si>
    <t>Średni czas oczekiwania na przyjęcie do ZOL/ZPO - przypadki pilne</t>
  </si>
  <si>
    <t>7.2.</t>
  </si>
  <si>
    <t>Zwiększenie liczby miejsc w ZOL dla pacjentów wentylowanych mechanicznie z dotychczasowych 28 stanowisk do 40 stanowisk. W obrębie istniejących ZOL zostaną dodane miejsca dla pacjentów wentylowanych mechanicznie. Ze względu na wymagania dotyczące opieki anestezjologicznej preferowana lokalizacja w placówkach szpitalnych posiadających OIOM.</t>
  </si>
  <si>
    <t>Liczba miejsc dla pacjentów wentylowanych mechanicznie w ZOL/ZPO</t>
  </si>
  <si>
    <t xml:space="preserve">Iloraz liczby zakontraktowanych punktów przez wskaźnik wyceny punktówej jednego osobodnia podzielone przez liczbe dni w analizowanym okresie </t>
  </si>
  <si>
    <t>7.3.</t>
  </si>
  <si>
    <t>Zwiększenie liczby kontraktowanych świadczeń w zakresie pielęgniarskiej opieki długoterminowej domowej w powiatach deficytowych.</t>
  </si>
  <si>
    <t>powiat stalowowolski - Liczba zakontraktowanych świadczeń w przeliczeniu na 10 tys. mieszkańców</t>
  </si>
  <si>
    <t>Wskaźnik wyliczony na podstawie liczby zakontraktowanych punktów</t>
  </si>
  <si>
    <t>powiat niżański - Liczba zakontraktowanych świadczeń w przeliczeniu na 10 tys. mieszkańców</t>
  </si>
  <si>
    <t>powiat leżajski - Liczba zakontraktowanych świadczeń w przeliczeniu na 10 tys. mieszkańców</t>
  </si>
  <si>
    <t>powiat ropczycko-sędziszowski - Liczba zakontraktowanych świadczeń w przeliczeniu na 10 tys. mieszkańców</t>
  </si>
  <si>
    <t>powiat łańcucki - Liczba zakontraktowanych świadczeń w przeliczeniu na 10 tys. mieszkańców</t>
  </si>
  <si>
    <t>powiat dębicki - Liczba zakontraktowanych świadczeń w przeliczeniu na 10 tys. mieszkańców</t>
  </si>
  <si>
    <t>8.</t>
  </si>
  <si>
    <t>Opieka paliatywna i hospicyjna</t>
  </si>
  <si>
    <t>8.1.</t>
  </si>
  <si>
    <t>Utworzenie maks. 6 nowych hospicjów stacjonarnych/oddziałów medycyny paliatywnej w większych powiatach, w których nie ma takich ośrodków (powiat stalowowolski, dębicki, jasielski, sanocki, ropczycko-sędziszowski, leżajski).</t>
  </si>
  <si>
    <t>Liczba miejsc w hospicjach stacjonarnych/oddziałach medycyny paliatywnej</t>
  </si>
  <si>
    <t>8.2.</t>
  </si>
  <si>
    <t>Zwiększenie liczby hospicjów perinatalnych o większe centra medyczne (Krosno, Przemyśl, Stalowa Wola, Mielec).</t>
  </si>
  <si>
    <t>Liczba rodzin objętych opieką hospicjum perinatalnego</t>
  </si>
  <si>
    <t>Liczba osób objętych opieką na podstawie sprawozdanych raportów statystycznych.</t>
  </si>
  <si>
    <t>8.3.</t>
  </si>
  <si>
    <t>Zwiększenie liczby świadczeń hospicjum domowego w powiatach tarnobrzeskim, ropczycko-sędziszowskim, niżańskim, kolbuszowskim, stalowowolski, rzeszowski, przemyski, jasielski i dębicki</t>
  </si>
  <si>
    <t>powiat tarnobrzeski - Liczba osobodni opieki hospicjum domowego na 10 tys. mieszkańców</t>
  </si>
  <si>
    <t>powiat ropczycko-sędziszowski - Liczba osobodni opieki hospicjum domowego na 10 tys. mieszkańców</t>
  </si>
  <si>
    <t>powiat niżański - Liczba osobodni opieki hospicjum domowego na 10 tys. mieszkańców</t>
  </si>
  <si>
    <t>powiat kolbuszowski - Liczba osobodni opieki hospicjum domowego na 10 tys. mieszkańców</t>
  </si>
  <si>
    <t>powiat stalowowolski - Liczba osobodni opieki hospicjum domowego na 10 tys. mieszkańców</t>
  </si>
  <si>
    <t>powiat rzeszowski - Liczba osobodni opieki hospicjum domowego na 10 tys. mieszkańców</t>
  </si>
  <si>
    <t>powiat przemyski - Liczba osobodni opieki hospicjum domowego na 10 tys. mieszkańców</t>
  </si>
  <si>
    <t>powiat jasielski - Liczba osobodni opieki hospicjum domowego na 10 tys. mieszkańców</t>
  </si>
  <si>
    <t>powiat dębicki - Liczba osobodni opieki hospicjum domowego na 10 tys. mieszkańców</t>
  </si>
  <si>
    <t>9.</t>
  </si>
  <si>
    <t>Państwowe Ratownictwo Medyczne</t>
  </si>
  <si>
    <t>9.1.</t>
  </si>
  <si>
    <t>Uruchomienie drugiego śmigłowca LPR  zabezpieczającego centralną i północną część województwa.</t>
  </si>
  <si>
    <t>Czas oczekiwania na świadczenia ratujące życie, liczba wyjazdów ZRM przekraczających maksymalny czas dotarcia na miejsce zdarzenia, % udział wyjazdów ZRM przekraczających maksymalny czas dotarcia na miejsce zdarzenia w ogólnej liczbie wyjazdów ZRM.</t>
  </si>
  <si>
    <t>9.2.</t>
  </si>
  <si>
    <t>Dostosowanie  sieci SOR do potrzeb regionu m. in. poprzez utworzenie drugiego  SOR dla aglomeracji rzeszowskiej, centrum urazowego dla dzieci oraz SOR dziecięcego.</t>
  </si>
  <si>
    <t>Liczba świadczeń udzielonych w SOR</t>
  </si>
  <si>
    <t>Liczba szpitalnych oddziałów ratunkowych</t>
  </si>
  <si>
    <t>Liczba umów zawartych z NFZ ujęta w informatorze o zawartych umowach</t>
  </si>
  <si>
    <t>Liczba szpitalnych oddziałów ratunkowych dla dzieci</t>
  </si>
  <si>
    <t>Liczba centrów urazowych dla dzieci</t>
  </si>
  <si>
    <t>Liczba funkcjonmujacych centrów ujętych w  planie ratownictwa</t>
  </si>
  <si>
    <t>9.3.</t>
  </si>
  <si>
    <t>Uruchomienie dodatkowych zespołów ratownictwa medycznego w podkarpackim rejonie operacyjnym i ich rozmieszczenie stosownie do potrzeb wynikających z analiz.</t>
  </si>
  <si>
    <t xml:space="preserve">Mediana czasu dotarcia ZRM na miejsce zdarzenia:
- w mieście powyżej 10 tys. mieszk. 
- poza miastem powyżej 10 tys. mieszk.
</t>
  </si>
  <si>
    <t>00:11:05
00:16:35</t>
  </si>
  <si>
    <t>00:09:28 00:15:20</t>
  </si>
  <si>
    <t>00:09:03    00:14:49</t>
  </si>
  <si>
    <t>00:09:02
00:14:30</t>
  </si>
  <si>
    <t>00:08:00
00:15:00</t>
  </si>
  <si>
    <t>Dane dotyczące czasu realizacji zleceń wyjazdu ZRM eksportowane są z SWD PRM i agregowane w związku z opracowywaniem i aktualizacją wojewódzkiego planu działania systemu PRM, jak również w związku z bieżącą analizą funkcjonowania ZRM w ramach prowadzonego nadzoru nad systemem na terenie województwa. Pomocniczo wykorzystywany jest system GIS, umożliwiający zobrazowanie przestrzenne obszarów, gdzie występuje przekroczenie normatywnych czasów dotarcia ZRM na miejsce zdarzenia. Pozwala to na planowanie efektywnego rozmieszczenia ZRM w rejonie operacyjnym.</t>
  </si>
  <si>
    <t>Maksymalny czas dotarcia ZRM na miejsce zdarzenia - przekroczenie w  %</t>
  </si>
  <si>
    <t>10.</t>
  </si>
  <si>
    <t>Kadry</t>
  </si>
  <si>
    <t>10.1.</t>
  </si>
  <si>
    <t>Tworzenie miejsc kształcenia i specjalizacji w oparciu o szkoły i uczelnie regionu.
Wzrost liczby osób wykonujących zawody medyczne poprzez tworzenie miejsc kształcenia i specjalizacji w oparciu o szkoły i uczelnie regionu.</t>
  </si>
  <si>
    <t>Kadra medyczna ogółem na 100 tys. ludności - świadczenia dla NFZ</t>
  </si>
  <si>
    <t>BASiW kadry medyczne</t>
  </si>
  <si>
    <t>Liczba lekarzy na 100 tys. ludności</t>
  </si>
  <si>
    <t>Liczba lekarzy dentystów na 100 tys. ludności</t>
  </si>
  <si>
    <t>Liczba pielęgniarek na 100 tys. ludności</t>
  </si>
  <si>
    <t>Liczba fizjoterapeutów na 100 tys. ludności</t>
  </si>
  <si>
    <t>10.2.</t>
  </si>
  <si>
    <t xml:space="preserve">Wsparcie dla jednostek podejmujących szkolenie specjalizacyjne w dziedzinach lekarskich. </t>
  </si>
  <si>
    <t>Wskaźnik lekarzy na 100 tys. ludności</t>
  </si>
  <si>
    <t>10.3.</t>
  </si>
  <si>
    <t>Utworzenie kierunku analityki medycznej na Uniwersytecie Rzeszowskim.</t>
  </si>
  <si>
    <t>Wskaźnik diagnostów laboratoryjnych  na 100 tys. ludności</t>
  </si>
  <si>
    <t>10.4.</t>
  </si>
  <si>
    <t>Utworzenie większej liczby miejsc specjalizacyjnych.</t>
  </si>
  <si>
    <t>10.5.</t>
  </si>
  <si>
    <t xml:space="preserve">Stworzenie systemu motywującego placówki do występowania do Dyrektora CMKP o akredytację do tworzenia nowych miejsc szkoleniowych. </t>
  </si>
  <si>
    <t>10.6.</t>
  </si>
  <si>
    <t xml:space="preserve">Stworzenie i wprowadzenie planu działań zachęcających lekarzy do odbywania specjalizacji w mniejszych ośrodkach, głównie w szpitalach powiatowych, gdzie braki kadrowe są największe. </t>
  </si>
  <si>
    <t>10.7.</t>
  </si>
  <si>
    <t>Utworzenie systemu motywującego absolwentów liceów do rozpoczęcia studiów pielęgniarskich lub położniczych. Potrzeba także wdrożenia systemu pomagającego pielęgniarkom w podjęciu pracy w zawodzie.</t>
  </si>
  <si>
    <t>Wskaźnik pielęgniarek na 100 tys. ludności</t>
  </si>
  <si>
    <t>Wskaźnik położnych na 100 tys. ludności</t>
  </si>
  <si>
    <t>11.</t>
  </si>
  <si>
    <t>Sprzęt medyczny</t>
  </si>
  <si>
    <t>11.1.</t>
  </si>
  <si>
    <t>Zakup i wymiana sprzętu zgodnie z priorytetami do wymiany</t>
  </si>
  <si>
    <t>Angiograf - Liczba sprzętu do wymiany</t>
  </si>
  <si>
    <t>Angiograf - Spadek odsetka sprzętu podlegajacego wymianie</t>
  </si>
  <si>
    <t>11.2.</t>
  </si>
  <si>
    <t>Aparat do brachyterapii - Liczba sprzętu do wymiany</t>
  </si>
  <si>
    <t>Aparat do brachyterapii - Spadek odsetka sprzętu podlegajacego wymianie</t>
  </si>
  <si>
    <t>11.3.</t>
  </si>
  <si>
    <t>ECMO - Liczba sprzętu do wymiany</t>
  </si>
  <si>
    <t>ECMO - Spadek odsetka sprzętu podlegajacego wymianie</t>
  </si>
  <si>
    <t>11.4.</t>
  </si>
  <si>
    <t>Gammakamera - Liczba sprzętu do wymiany</t>
  </si>
  <si>
    <t>Gammakamera - Spadek odsetka sprzętu podlegajacego wymianie</t>
  </si>
  <si>
    <t>11.5.</t>
  </si>
  <si>
    <t>Akcelarator - Liczba sprzętu do wymiany</t>
  </si>
  <si>
    <t>Akcelarator - Spadek odsetka sprzętu podlegajacego wymianie</t>
  </si>
  <si>
    <t>11.6.</t>
  </si>
  <si>
    <t>Mammograf - Liczba sprzętu do wymiany</t>
  </si>
  <si>
    <t>Mammograf - Spadek odsetka sprzętu podlegajacego wymianie</t>
  </si>
  <si>
    <t>11.7.</t>
  </si>
  <si>
    <t>Rezonans magnetyczny - Liczba sprzętu do wymiany</t>
  </si>
  <si>
    <t>Rezonans magnetyczny - Spadek odsetka sprzętu podlegajacego wymianie</t>
  </si>
  <si>
    <t>11.8.</t>
  </si>
  <si>
    <t>Tomograf komputerowy - Liczba sprzętu do wymiany</t>
  </si>
  <si>
    <t>Tomograf komputerowy - Spadek odsetka sprzętu podlegajacego wymianie</t>
  </si>
  <si>
    <t>11.9.</t>
  </si>
  <si>
    <t>Zakup i wymiana sprzętu diagnostycznego dla AOS działających przy funkcjonujących ośrodkach onkologicznych.</t>
  </si>
  <si>
    <t>Liczba specjalistycznego sprzętu 
(środek trwały pow. 10 tys. PLN)  zakupiona dla AOS.</t>
  </si>
  <si>
    <t>Liczba zakupionego sprzętu</t>
  </si>
  <si>
    <t>12.</t>
  </si>
  <si>
    <t>Stomatologia</t>
  </si>
  <si>
    <t>12.1.</t>
  </si>
  <si>
    <t>Utworzenie referencyjnego ośrodka w zakresie stomatologii zapewniającego dostęp do świadczeń specjalistycznych dla pacjentów oraz możliwość kształcenia podyplomowego lekarzy dentystów na bazie jednego z istniejących dużych podmiotów stomatologicznych</t>
  </si>
  <si>
    <t>Liczba ośrodków prowadzących kształcenie podyplomowe lekarzy w ramach podmiotu zapewniającego kompleksowe leczenie:
 - w poradni chirurgii szczękowo-twarzowej, 
- protetyki stomatologicznej dla świadczeniobiorców po chirurgicznym leczeniu nowotworów w obrębie twarzoczaszki,
- leczenie ortodontyczne,
- leczenie w zakresie chirurgii i pieriodontologii.</t>
  </si>
  <si>
    <t>Liczba świadczeniodawców posiadających umowę łącznie w wymienionych zakresach i prowadzących ksztalcenie podyplomowe</t>
  </si>
  <si>
    <t>Liczba świadczeń wykonanych w ramach poradni chirurgii szczękowo-twarzowej wskazanego ośrodka</t>
  </si>
  <si>
    <t>Liczba świadczeń ujętych w raportach statystycznych przekazanych do NFZ</t>
  </si>
  <si>
    <t>Liczba świadczeń ortodontycznych wykonanych w ośrodku</t>
  </si>
  <si>
    <t>Liczba świadczeń chirurgii i perodonotologii  wykonanych wykonanych w ośrodku</t>
  </si>
  <si>
    <t>Liczba świadczeń ujetych w raportach statystycznych przekazanych do NFZ</t>
  </si>
  <si>
    <t>Liczba świadczeń protetyki stomatologicznej dla świadczeniobircow po leczeniu nowotworów  wykonanych wykonanych w ośrodku</t>
  </si>
  <si>
    <t>% udział wyjazdów ZRM przekraczających maksymalny czas dotarcia na miejsce zdarzenia w ogólnej liczbie wyjazdów ZRM.</t>
  </si>
  <si>
    <t>Ustawa o Państwowym Ratownictwie Medycznym (dane z Wydziału Bezpieczeństwa i Zarządzania Kryzysowego PUW)</t>
  </si>
  <si>
    <r>
      <t xml:space="preserve">Tablica GUS: </t>
    </r>
    <r>
      <rPr>
        <i/>
        <sz val="10"/>
        <color indexed="8"/>
        <rFont val="Calibri"/>
        <family val="2"/>
        <charset val="238"/>
      </rPr>
      <t>Stan, ruch naturalny i wędrówkowy ludności w roku wg podziału administracyjnego</t>
    </r>
  </si>
  <si>
    <t>aktualizacja danych - BASiW</t>
  </si>
  <si>
    <t>Rejestr Asystentów Medycznych ZUS
Asystenci na 100 tys.ludnosci/Lekarze poz na 100 tys.ludnosci</t>
  </si>
  <si>
    <t>aktualizacja danych - BASiW (wezwań ZRM do inne/złe samopoczucie)</t>
  </si>
  <si>
    <t>aktualizacja danych - BASiW -  kadry medyczne</t>
  </si>
  <si>
    <t>Liczba sprzętu do wymiany do 2026 r. wg BASiW  -   moduł sprzęt medyczny</t>
  </si>
  <si>
    <t>Odsetek sprzętu podlegajacego wymianie w 2026 r. wg BASiW - moduł sprzęt medyczny</t>
  </si>
  <si>
    <t>Odsetek sprzętu podlegajacego wymianie w 2026 r. wg BASiW -  moduł sprzęt medyczny</t>
  </si>
  <si>
    <t>Liczba sprzętu do wymiany do 2026 r. wg BASiW  - moduł sprzęt medyczny</t>
  </si>
  <si>
    <t>Liczba sprzętu do wymiany do 2026 r. wg BASiW - moduł sprzęt medyczny</t>
  </si>
  <si>
    <t>Odsetek sprzętu podlegajacego wymianie w 2026 r. wg BASiW - . moduł sprzęt medyczny</t>
  </si>
  <si>
    <t>Liczba sprzętu do wymiany do 2026 r. wg BASiW za - moduł sprzęt medyczny</t>
  </si>
  <si>
    <t>11</t>
  </si>
  <si>
    <t xml:space="preserve">
Utworzenie niezbędnych poradni specjalistycznych: poradnia alergologiczna – powiat stalowowolski, poradnia chorób płuc – powiat brzozowski, poradnia diabetologiczna – powiat brzozowski, dębicki, kolbuszowski, poradnia endokrynologiczna – powiat bieszczadzki, leski, poradnia gastroenterologiczna – powiaty jarosławski, jasielski, mielecki, poradnia okulistyczna – powiat leski, poradnia reumatologiczna – powiat bieszczadzki, poradnia urologiczna – powiat lubaczowski, strzyżowski, poradnia chirurgii naczyniowej – m. Krosno, poradnia chirurgii dzieci – m. Krosno, poradnia chirurgii plastycznej – m. Rzeszów, poradnia hematologiczna – m. Przemyśl, powiat mielecki, stalowowolski; poradnia leczenia bólu – m. Przemyśl, m. Krosno, poradnia leczenia osteoporozy – m. Krosno, m. Przemyśl, m. Tarnobrzeg; poradnia onkologiczna – m. Krosno, powiat mielecki; poradnia proktologiczna – m. Krosno, m. Przemyśl, m. Tarnobrzeg.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</si>
</sst>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6" x14ac:knownFonts="1">
    <font>
      <sz val="11"/>
      <color indexed="8"/>
      <name val="Calibri"/>
    </font>
    <font>
      <sz val="10"/>
      <color indexed="8"/>
      <name val="Calibri"/>
      <family val="2"/>
      <charset val="238"/>
    </font>
    <font>
      <b/>
      <sz val="10"/>
      <color indexed="8"/>
      <name val="Calibri"/>
      <family val="2"/>
      <charset val="238"/>
    </font>
    <font>
      <b/>
      <sz val="10"/>
      <color indexed="9"/>
      <name val="Calibri"/>
      <family val="2"/>
      <charset val="238"/>
    </font>
    <font>
      <sz val="10"/>
      <color indexed="8"/>
      <name val="Calibri Light"/>
      <family val="2"/>
      <charset val="238"/>
    </font>
    <font>
      <i/>
      <sz val="10"/>
      <color indexed="8"/>
      <name val="Calibri"/>
      <family val="2"/>
      <charset val="238"/>
    </font>
  </fonts>
  <fills count="5">
    <fill>
      <patternFill patternType="none"/>
    </fill>
    <fill>
      <patternFill patternType="gray125"/>
    </fill>
    <fill>
      <patternFill patternType="solid">
        <fgColor indexed="9"/>
        <bgColor auto="1"/>
      </patternFill>
    </fill>
    <fill>
      <patternFill patternType="solid">
        <fgColor indexed="13"/>
        <bgColor auto="1"/>
      </patternFill>
    </fill>
    <fill>
      <patternFill patternType="solid">
        <fgColor theme="4" tint="-0.249977111117893"/>
        <bgColor indexed="64"/>
      </patternFill>
    </fill>
  </fills>
  <borders count="12">
    <border>
      <left/>
      <right/>
      <top/>
      <bottom/>
      <diagonal/>
    </border>
    <border>
      <left style="thin">
        <color indexed="10"/>
      </left>
      <right/>
      <top/>
      <bottom style="thin">
        <color indexed="12"/>
      </bottom>
      <diagonal/>
    </border>
    <border>
      <left/>
      <right style="thin">
        <color indexed="12"/>
      </right>
      <top/>
      <bottom style="thin">
        <color indexed="12"/>
      </bottom>
      <diagonal/>
    </border>
    <border>
      <left style="thin">
        <color indexed="12"/>
      </left>
      <right style="thin">
        <color indexed="12"/>
      </right>
      <top style="thin">
        <color indexed="12"/>
      </top>
      <bottom/>
      <diagonal/>
    </border>
    <border>
      <left style="thin">
        <color indexed="12"/>
      </left>
      <right style="thin">
        <color indexed="12"/>
      </right>
      <top style="thin">
        <color indexed="12"/>
      </top>
      <bottom style="thin">
        <color indexed="10"/>
      </bottom>
      <diagonal/>
    </border>
    <border>
      <left style="thin">
        <color indexed="12"/>
      </left>
      <right style="thin">
        <color indexed="12"/>
      </right>
      <top/>
      <bottom style="thin">
        <color indexed="12"/>
      </bottom>
      <diagonal/>
    </border>
    <border>
      <left style="thin">
        <color indexed="12"/>
      </left>
      <right style="thin">
        <color indexed="12"/>
      </right>
      <top style="thin">
        <color indexed="10"/>
      </top>
      <bottom style="thin">
        <color indexed="10"/>
      </bottom>
      <diagonal/>
    </border>
    <border>
      <left style="thin">
        <color indexed="12"/>
      </left>
      <right style="thin">
        <color indexed="12"/>
      </right>
      <top style="thin">
        <color indexed="12"/>
      </top>
      <bottom style="thin">
        <color indexed="12"/>
      </bottom>
      <diagonal/>
    </border>
    <border>
      <left style="thin">
        <color indexed="12"/>
      </left>
      <right style="thin">
        <color indexed="12"/>
      </right>
      <top style="thin">
        <color indexed="10"/>
      </top>
      <bottom style="thin">
        <color indexed="12"/>
      </bottom>
      <diagonal/>
    </border>
    <border>
      <left style="thin">
        <color indexed="12"/>
      </left>
      <right style="thin">
        <color indexed="12"/>
      </right>
      <top style="thin">
        <color indexed="12"/>
      </top>
      <bottom style="thin">
        <color indexed="64"/>
      </bottom>
      <diagonal/>
    </border>
    <border>
      <left/>
      <right/>
      <top style="thin">
        <color rgb="FF00B0F0"/>
      </top>
      <bottom/>
      <diagonal/>
    </border>
    <border>
      <left style="thin">
        <color indexed="12"/>
      </left>
      <right style="thin">
        <color indexed="12"/>
      </right>
      <top style="thin">
        <color indexed="12"/>
      </top>
      <bottom style="thin">
        <color rgb="FF00B0F0"/>
      </bottom>
      <diagonal/>
    </border>
  </borders>
  <cellStyleXfs count="1">
    <xf numFmtId="0" fontId="0" fillId="0" borderId="0" applyNumberFormat="0" applyFill="0" applyBorder="0" applyProtection="0"/>
  </cellStyleXfs>
  <cellXfs count="79">
    <xf numFmtId="0" fontId="0" fillId="0" borderId="0" xfId="0" applyFont="1" applyAlignment="1"/>
    <xf numFmtId="0" fontId="1" fillId="0" borderId="0" xfId="0" applyNumberFormat="1" applyFont="1" applyAlignment="1"/>
    <xf numFmtId="49" fontId="3" fillId="3" borderId="1"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0" fontId="3" fillId="3" borderId="3" xfId="0"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3" fillId="3" borderId="3" xfId="0" applyNumberFormat="1" applyFont="1" applyFill="1" applyBorder="1" applyAlignment="1">
      <alignment horizontal="center" vertical="center" wrapText="1"/>
    </xf>
    <xf numFmtId="49" fontId="1" fillId="2" borderId="5" xfId="0" applyNumberFormat="1" applyFont="1" applyFill="1" applyBorder="1" applyAlignment="1">
      <alignment vertical="center" wrapText="1"/>
    </xf>
    <xf numFmtId="3" fontId="1" fillId="2" borderId="5" xfId="0" applyNumberFormat="1" applyFont="1" applyFill="1" applyBorder="1" applyAlignment="1">
      <alignment horizontal="center" vertical="center" wrapText="1"/>
    </xf>
    <xf numFmtId="49" fontId="1" fillId="2" borderId="5" xfId="0" applyNumberFormat="1" applyFont="1" applyFill="1" applyBorder="1" applyAlignment="1">
      <alignment horizontal="center" vertical="center" wrapText="1"/>
    </xf>
    <xf numFmtId="49" fontId="1" fillId="0" borderId="5" xfId="0" applyNumberFormat="1" applyFont="1" applyFill="1" applyBorder="1" applyAlignment="1">
      <alignment vertical="center" wrapText="1"/>
    </xf>
    <xf numFmtId="49" fontId="1" fillId="2" borderId="7" xfId="0" applyNumberFormat="1" applyFont="1" applyFill="1" applyBorder="1" applyAlignment="1">
      <alignment vertical="center" wrapText="1"/>
    </xf>
    <xf numFmtId="49" fontId="1" fillId="2" borderId="7" xfId="0" applyNumberFormat="1"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49" fontId="1" fillId="0" borderId="7" xfId="0" applyNumberFormat="1" applyFont="1" applyFill="1" applyBorder="1" applyAlignment="1">
      <alignment vertical="center" wrapText="1"/>
    </xf>
    <xf numFmtId="164" fontId="1" fillId="2" borderId="7" xfId="0" applyNumberFormat="1" applyFont="1" applyFill="1" applyBorder="1" applyAlignment="1">
      <alignment horizontal="center" vertical="center" wrapText="1"/>
    </xf>
    <xf numFmtId="9" fontId="1" fillId="2" borderId="7" xfId="0" applyNumberFormat="1" applyFont="1" applyFill="1" applyBorder="1" applyAlignment="1">
      <alignment horizontal="center" vertical="center" wrapText="1"/>
    </xf>
    <xf numFmtId="165" fontId="1" fillId="2" borderId="7" xfId="0" applyNumberFormat="1" applyFont="1" applyFill="1" applyBorder="1" applyAlignment="1">
      <alignment horizontal="center" vertical="center" wrapText="1"/>
    </xf>
    <xf numFmtId="0" fontId="1" fillId="2" borderId="7" xfId="0" applyNumberFormat="1" applyFont="1" applyFill="1" applyBorder="1" applyAlignment="1">
      <alignment horizontal="center" vertical="center" wrapText="1"/>
    </xf>
    <xf numFmtId="166"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1" fontId="1" fillId="2" borderId="7" xfId="0" applyNumberFormat="1" applyFont="1" applyFill="1" applyBorder="1" applyAlignment="1">
      <alignment horizontal="center" vertical="center" wrapText="1"/>
    </xf>
    <xf numFmtId="0" fontId="1" fillId="0" borderId="0" xfId="0" applyNumberFormat="1" applyFont="1" applyAlignment="1">
      <alignment horizontal="center"/>
    </xf>
    <xf numFmtId="3" fontId="1" fillId="0" borderId="5" xfId="0" applyNumberFormat="1" applyFont="1" applyFill="1" applyBorder="1" applyAlignment="1">
      <alignment horizontal="center" vertical="center" wrapText="1"/>
    </xf>
    <xf numFmtId="49" fontId="1" fillId="0" borderId="7" xfId="0" applyNumberFormat="1" applyFont="1" applyFill="1" applyBorder="1" applyAlignment="1">
      <alignment horizontal="center" vertical="center" wrapText="1"/>
    </xf>
    <xf numFmtId="3" fontId="1" fillId="0" borderId="7" xfId="0" applyNumberFormat="1" applyFont="1" applyFill="1" applyBorder="1" applyAlignment="1">
      <alignment horizontal="center" vertical="center" wrapText="1"/>
    </xf>
    <xf numFmtId="164" fontId="1" fillId="0" borderId="7" xfId="0" applyNumberFormat="1" applyFont="1" applyFill="1" applyBorder="1" applyAlignment="1">
      <alignment horizontal="center" vertical="center" wrapText="1"/>
    </xf>
    <xf numFmtId="165" fontId="1" fillId="0" borderId="7" xfId="0" applyNumberFormat="1" applyFont="1" applyFill="1" applyBorder="1" applyAlignment="1">
      <alignment horizontal="center" vertical="center" wrapText="1"/>
    </xf>
    <xf numFmtId="0" fontId="1" fillId="0" borderId="7" xfId="0" applyNumberFormat="1" applyFont="1" applyFill="1" applyBorder="1" applyAlignment="1">
      <alignment horizontal="center" vertical="center" wrapText="1"/>
    </xf>
    <xf numFmtId="166" fontId="1" fillId="0" borderId="7" xfId="0" applyNumberFormat="1" applyFont="1" applyFill="1" applyBorder="1" applyAlignment="1">
      <alignment horizontal="center" vertical="center" wrapText="1"/>
    </xf>
    <xf numFmtId="9" fontId="1" fillId="0" borderId="7" xfId="0" applyNumberFormat="1" applyFont="1" applyFill="1" applyBorder="1" applyAlignment="1">
      <alignment horizontal="center" vertical="center" wrapText="1"/>
    </xf>
    <xf numFmtId="1" fontId="1" fillId="0" borderId="7" xfId="0" applyNumberFormat="1" applyFont="1" applyFill="1" applyBorder="1" applyAlignment="1">
      <alignment horizontal="center" vertical="center" wrapText="1"/>
    </xf>
    <xf numFmtId="0" fontId="1" fillId="0" borderId="0" xfId="0" applyNumberFormat="1" applyFont="1" applyFill="1" applyAlignment="1">
      <alignment horizontal="center"/>
    </xf>
    <xf numFmtId="0" fontId="3" fillId="4" borderId="3" xfId="0" applyNumberFormat="1" applyFont="1" applyFill="1" applyBorder="1" applyAlignment="1">
      <alignment horizontal="center" vertical="center" wrapText="1"/>
    </xf>
    <xf numFmtId="49" fontId="1" fillId="2" borderId="7" xfId="0" applyNumberFormat="1" applyFont="1" applyFill="1" applyBorder="1" applyAlignment="1">
      <alignment vertical="center" wrapText="1"/>
    </xf>
    <xf numFmtId="49"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0" xfId="0" applyFont="1" applyFill="1" applyBorder="1" applyAlignment="1">
      <alignment vertical="center" wrapText="1"/>
    </xf>
    <xf numFmtId="0" fontId="1" fillId="2"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49" fontId="1" fillId="2" borderId="3" xfId="0" applyNumberFormat="1" applyFont="1" applyFill="1" applyBorder="1" applyAlignment="1">
      <alignment vertical="center" wrapText="1"/>
    </xf>
    <xf numFmtId="49" fontId="1" fillId="2" borderId="3" xfId="0" applyNumberFormat="1" applyFont="1" applyFill="1" applyBorder="1" applyAlignment="1">
      <alignment horizontal="center" vertical="center" wrapText="1"/>
    </xf>
    <xf numFmtId="0" fontId="1" fillId="0" borderId="3" xfId="0" applyNumberFormat="1" applyFont="1" applyFill="1" applyBorder="1" applyAlignment="1">
      <alignment horizontal="center" vertical="center" wrapText="1"/>
    </xf>
    <xf numFmtId="49" fontId="1" fillId="0" borderId="3" xfId="0" applyNumberFormat="1" applyFont="1" applyFill="1" applyBorder="1" applyAlignment="1">
      <alignment vertical="center" wrapText="1"/>
    </xf>
    <xf numFmtId="0" fontId="1" fillId="0" borderId="0" xfId="0" applyNumberFormat="1" applyFont="1" applyBorder="1" applyAlignment="1"/>
    <xf numFmtId="0" fontId="1" fillId="2" borderId="9" xfId="0" applyFont="1" applyFill="1" applyBorder="1" applyAlignment="1">
      <alignment horizontal="center" vertical="center" wrapText="1"/>
    </xf>
    <xf numFmtId="0" fontId="1" fillId="2" borderId="10" xfId="0" applyFont="1" applyFill="1" applyBorder="1" applyAlignment="1">
      <alignment vertical="center" wrapText="1"/>
    </xf>
    <xf numFmtId="0" fontId="1" fillId="2" borderId="10" xfId="0" applyFont="1" applyFill="1" applyBorder="1" applyAlignment="1">
      <alignment horizontal="center" vertical="center" wrapText="1"/>
    </xf>
    <xf numFmtId="49" fontId="1" fillId="2" borderId="11"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3" fontId="1" fillId="2" borderId="11" xfId="0" applyNumberFormat="1" applyFont="1" applyFill="1" applyBorder="1" applyAlignment="1">
      <alignment horizontal="center" vertical="center" wrapText="1"/>
    </xf>
    <xf numFmtId="49" fontId="1" fillId="2" borderId="7" xfId="0" applyNumberFormat="1" applyFont="1" applyFill="1" applyBorder="1" applyAlignment="1">
      <alignment vertical="center" wrapText="1"/>
    </xf>
    <xf numFmtId="0" fontId="1" fillId="2" borderId="7" xfId="0" applyFont="1" applyFill="1" applyBorder="1" applyAlignment="1">
      <alignment vertical="center" wrapText="1"/>
    </xf>
    <xf numFmtId="49" fontId="1" fillId="2" borderId="4" xfId="0" applyNumberFormat="1" applyFont="1" applyFill="1" applyBorder="1" applyAlignment="1">
      <alignment vertical="center" wrapText="1"/>
    </xf>
    <xf numFmtId="0" fontId="1" fillId="2" borderId="6" xfId="0" applyFont="1" applyFill="1" applyBorder="1" applyAlignment="1">
      <alignment horizontal="right" vertical="center" wrapText="1"/>
    </xf>
    <xf numFmtId="0" fontId="1" fillId="2" borderId="8" xfId="0" applyFont="1" applyFill="1" applyBorder="1" applyAlignment="1">
      <alignment horizontal="right" vertical="center" wrapText="1"/>
    </xf>
    <xf numFmtId="0" fontId="1" fillId="2" borderId="6" xfId="0" applyFont="1" applyFill="1" applyBorder="1" applyAlignment="1">
      <alignment vertical="center" wrapText="1"/>
    </xf>
    <xf numFmtId="0" fontId="2" fillId="2" borderId="6" xfId="0" applyFont="1" applyFill="1" applyBorder="1" applyAlignment="1">
      <alignment horizontal="center" vertical="center" wrapText="1"/>
    </xf>
    <xf numFmtId="0" fontId="1" fillId="2" borderId="8" xfId="0" applyFont="1" applyFill="1" applyBorder="1" applyAlignment="1">
      <alignment vertical="center" wrapText="1"/>
    </xf>
    <xf numFmtId="49" fontId="1" fillId="2" borderId="5" xfId="0" applyNumberFormat="1" applyFont="1" applyFill="1" applyBorder="1" applyAlignment="1">
      <alignment vertical="center" wrapText="1"/>
    </xf>
    <xf numFmtId="49" fontId="4" fillId="2" borderId="7" xfId="0" applyNumberFormat="1" applyFont="1" applyFill="1" applyBorder="1" applyAlignment="1">
      <alignment horizontal="center" vertical="center" wrapText="1"/>
    </xf>
    <xf numFmtId="0" fontId="4" fillId="2" borderId="7" xfId="0" applyFont="1" applyFill="1" applyBorder="1" applyAlignment="1">
      <alignment horizontal="center" vertical="center" wrapText="1"/>
    </xf>
    <xf numFmtId="49" fontId="1" fillId="2" borderId="7" xfId="0" applyNumberFormat="1" applyFont="1" applyFill="1" applyBorder="1" applyAlignment="1">
      <alignment horizontal="center" vertical="center" wrapText="1"/>
    </xf>
    <xf numFmtId="0" fontId="1" fillId="2" borderId="7" xfId="0" applyFont="1" applyFill="1" applyBorder="1" applyAlignment="1">
      <alignment horizontal="center" vertical="center" wrapText="1"/>
    </xf>
    <xf numFmtId="49" fontId="1" fillId="2" borderId="4" xfId="0" applyNumberFormat="1" applyFont="1" applyFill="1" applyBorder="1" applyAlignment="1">
      <alignment horizontal="lef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horizontal="left" vertical="center" wrapText="1"/>
    </xf>
    <xf numFmtId="49" fontId="4" fillId="2" borderId="4" xfId="0" applyNumberFormat="1"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7" xfId="0" applyFont="1" applyFill="1" applyBorder="1" applyAlignment="1">
      <alignment horizontal="right" vertical="center" wrapText="1"/>
    </xf>
    <xf numFmtId="0" fontId="2" fillId="2" borderId="6" xfId="0" applyFont="1" applyFill="1" applyBorder="1" applyAlignment="1">
      <alignment horizontal="right" vertical="center" wrapText="1"/>
    </xf>
    <xf numFmtId="49" fontId="2" fillId="2" borderId="4" xfId="0" applyNumberFormat="1" applyFont="1" applyFill="1" applyBorder="1" applyAlignment="1">
      <alignment horizontal="center" vertical="center" wrapText="1"/>
    </xf>
    <xf numFmtId="0" fontId="2" fillId="2" borderId="8" xfId="0" applyFont="1" applyFill="1" applyBorder="1" applyAlignment="1">
      <alignment horizontal="center" vertical="center" wrapText="1"/>
    </xf>
    <xf numFmtId="0" fontId="1" fillId="2" borderId="3" xfId="0" applyFont="1" applyFill="1" applyBorder="1" applyAlignment="1">
      <alignment vertical="center" wrapText="1"/>
    </xf>
    <xf numFmtId="0" fontId="4" fillId="2" borderId="3" xfId="0" applyFont="1" applyFill="1" applyBorder="1" applyAlignment="1">
      <alignment horizontal="center" vertical="center" wrapText="1"/>
    </xf>
    <xf numFmtId="49" fontId="1" fillId="2" borderId="7" xfId="0" applyNumberFormat="1"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3" xfId="0" applyFont="1" applyFill="1" applyBorder="1" applyAlignment="1">
      <alignment horizontal="left" vertical="center" wrapText="1"/>
    </xf>
  </cellXfs>
  <cellStyles count="1">
    <cellStyle name="Normalny"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AAAAAA"/>
      <rgbColor rgb="FFFBD4B4"/>
      <rgbColor rgb="FF00B0F0"/>
      <rgbColor rgb="FF3B608D"/>
      <rgbColor rgb="FFB97034"/>
      <rgbColor rgb="FFFFFF00"/>
      <rgbColor rgb="FFFF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Theme 2007 - 2010">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2007 - 2010">
      <a:majorFont>
        <a:latin typeface="Helvetica Neue"/>
        <a:ea typeface="Helvetica Neue"/>
        <a:cs typeface="Helvetica Neue"/>
      </a:majorFont>
      <a:minorFont>
        <a:latin typeface="Helvetica Neue"/>
        <a:ea typeface="Helvetica Neue"/>
        <a:cs typeface="Helvetica Neue"/>
      </a:minorFont>
    </a:fontScheme>
    <a:fmtScheme name="Office Them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57"/>
  <sheetViews>
    <sheetView showGridLines="0" tabSelected="1" workbookViewId="0">
      <selection activeCell="Q7" sqref="Q7"/>
    </sheetView>
  </sheetViews>
  <sheetFormatPr defaultColWidth="9.140625" defaultRowHeight="12.75" x14ac:dyDescent="0.2"/>
  <cols>
    <col min="1" max="1" width="8.140625" style="1" customWidth="1"/>
    <col min="2" max="2" width="14.140625" style="1" customWidth="1"/>
    <col min="3" max="3" width="5" style="1" customWidth="1"/>
    <col min="4" max="4" width="50.42578125" style="1" customWidth="1"/>
    <col min="5" max="5" width="25.85546875" style="1" customWidth="1"/>
    <col min="6" max="7" width="8.7109375" style="22" customWidth="1"/>
    <col min="8" max="8" width="12.7109375" style="22" customWidth="1"/>
    <col min="9" max="9" width="14" style="32" customWidth="1"/>
    <col min="10" max="10" width="1.85546875" style="22" hidden="1" customWidth="1"/>
    <col min="11" max="11" width="12.85546875" style="22" customWidth="1"/>
    <col min="12" max="12" width="40.28515625" style="1" customWidth="1"/>
    <col min="13" max="13" width="9.140625" style="1" customWidth="1"/>
    <col min="14" max="16384" width="9.140625" style="1"/>
  </cols>
  <sheetData>
    <row r="1" spans="1:12" ht="38.25" x14ac:dyDescent="0.2">
      <c r="A1" s="2" t="s">
        <v>0</v>
      </c>
      <c r="B1" s="3" t="s">
        <v>1</v>
      </c>
      <c r="C1" s="4"/>
      <c r="D1" s="5" t="s">
        <v>2</v>
      </c>
      <c r="E1" s="5" t="s">
        <v>3</v>
      </c>
      <c r="F1" s="5" t="s">
        <v>4</v>
      </c>
      <c r="G1" s="6">
        <v>2022</v>
      </c>
      <c r="H1" s="6">
        <v>2023</v>
      </c>
      <c r="I1" s="33">
        <v>2024</v>
      </c>
      <c r="J1" s="6">
        <v>2025</v>
      </c>
      <c r="K1" s="5" t="s">
        <v>5</v>
      </c>
      <c r="L1" s="5" t="s">
        <v>6</v>
      </c>
    </row>
    <row r="2" spans="1:12" ht="51" x14ac:dyDescent="0.2">
      <c r="A2" s="53" t="s">
        <v>7</v>
      </c>
      <c r="B2" s="53" t="s">
        <v>8</v>
      </c>
      <c r="C2" s="59" t="s">
        <v>9</v>
      </c>
      <c r="D2" s="59" t="s">
        <v>10</v>
      </c>
      <c r="E2" s="7" t="s">
        <v>11</v>
      </c>
      <c r="F2" s="8">
        <v>1</v>
      </c>
      <c r="G2" s="9" t="s">
        <v>12</v>
      </c>
      <c r="H2" s="8">
        <v>1</v>
      </c>
      <c r="I2" s="23">
        <v>1</v>
      </c>
      <c r="J2" s="8"/>
      <c r="K2" s="8">
        <v>1</v>
      </c>
      <c r="L2" s="10" t="s">
        <v>13</v>
      </c>
    </row>
    <row r="3" spans="1:12" ht="25.5" x14ac:dyDescent="0.2">
      <c r="A3" s="54"/>
      <c r="B3" s="56"/>
      <c r="C3" s="52"/>
      <c r="D3" s="52"/>
      <c r="E3" s="11" t="s">
        <v>14</v>
      </c>
      <c r="F3" s="12" t="s">
        <v>12</v>
      </c>
      <c r="G3" s="12" t="s">
        <v>12</v>
      </c>
      <c r="H3" s="12" t="s">
        <v>12</v>
      </c>
      <c r="I3" s="24" t="s">
        <v>12</v>
      </c>
      <c r="J3" s="13"/>
      <c r="K3" s="13">
        <v>2500</v>
      </c>
      <c r="L3" s="14" t="s">
        <v>15</v>
      </c>
    </row>
    <row r="4" spans="1:12" ht="25.5" x14ac:dyDescent="0.2">
      <c r="A4" s="54"/>
      <c r="B4" s="56"/>
      <c r="C4" s="53" t="s">
        <v>16</v>
      </c>
      <c r="D4" s="64" t="s">
        <v>17</v>
      </c>
      <c r="E4" s="11" t="s">
        <v>11</v>
      </c>
      <c r="F4" s="13">
        <v>8</v>
      </c>
      <c r="G4" s="12" t="s">
        <v>12</v>
      </c>
      <c r="H4" s="12" t="s">
        <v>12</v>
      </c>
      <c r="I4" s="25">
        <v>7</v>
      </c>
      <c r="J4" s="13"/>
      <c r="K4" s="13">
        <v>9</v>
      </c>
      <c r="L4" s="14" t="s">
        <v>18</v>
      </c>
    </row>
    <row r="5" spans="1:12" ht="25.5" x14ac:dyDescent="0.2">
      <c r="A5" s="54"/>
      <c r="B5" s="56"/>
      <c r="C5" s="58"/>
      <c r="D5" s="66"/>
      <c r="E5" s="11" t="s">
        <v>14</v>
      </c>
      <c r="F5" s="13">
        <v>14072</v>
      </c>
      <c r="G5" s="12" t="s">
        <v>12</v>
      </c>
      <c r="H5" s="12" t="s">
        <v>12</v>
      </c>
      <c r="I5" s="25">
        <v>1781</v>
      </c>
      <c r="J5" s="13"/>
      <c r="K5" s="13">
        <v>15000</v>
      </c>
      <c r="L5" s="14" t="s">
        <v>18</v>
      </c>
    </row>
    <row r="6" spans="1:12" ht="25.5" x14ac:dyDescent="0.2">
      <c r="A6" s="54"/>
      <c r="B6" s="56"/>
      <c r="C6" s="53" t="s">
        <v>19</v>
      </c>
      <c r="D6" s="53" t="s">
        <v>20</v>
      </c>
      <c r="E6" s="11" t="s">
        <v>11</v>
      </c>
      <c r="F6" s="13">
        <v>1</v>
      </c>
      <c r="G6" s="13">
        <v>1</v>
      </c>
      <c r="H6" s="13">
        <v>1</v>
      </c>
      <c r="I6" s="25">
        <v>1</v>
      </c>
      <c r="J6" s="13"/>
      <c r="K6" s="13">
        <v>1</v>
      </c>
      <c r="L6" s="14" t="s">
        <v>21</v>
      </c>
    </row>
    <row r="7" spans="1:12" ht="38.25" x14ac:dyDescent="0.2">
      <c r="A7" s="54"/>
      <c r="B7" s="56"/>
      <c r="C7" s="58"/>
      <c r="D7" s="58"/>
      <c r="E7" s="11" t="s">
        <v>14</v>
      </c>
      <c r="F7" s="12" t="s">
        <v>12</v>
      </c>
      <c r="G7" s="12" t="s">
        <v>12</v>
      </c>
      <c r="H7" s="12" t="s">
        <v>12</v>
      </c>
      <c r="I7" s="24" t="s">
        <v>12</v>
      </c>
      <c r="J7" s="13"/>
      <c r="K7" s="13">
        <v>2500</v>
      </c>
      <c r="L7" s="14" t="s">
        <v>22</v>
      </c>
    </row>
    <row r="8" spans="1:12" ht="25.5" x14ac:dyDescent="0.2">
      <c r="A8" s="54"/>
      <c r="B8" s="56"/>
      <c r="C8" s="53" t="s">
        <v>23</v>
      </c>
      <c r="D8" s="64" t="s">
        <v>24</v>
      </c>
      <c r="E8" s="11" t="s">
        <v>11</v>
      </c>
      <c r="F8" s="13">
        <v>158</v>
      </c>
      <c r="G8" s="13">
        <v>216</v>
      </c>
      <c r="H8" s="13">
        <v>79</v>
      </c>
      <c r="I8" s="25">
        <v>5</v>
      </c>
      <c r="J8" s="13"/>
      <c r="K8" s="13">
        <v>165.9</v>
      </c>
      <c r="L8" s="14" t="s">
        <v>18</v>
      </c>
    </row>
    <row r="9" spans="1:12" ht="25.5" x14ac:dyDescent="0.2">
      <c r="A9" s="54"/>
      <c r="B9" s="56"/>
      <c r="C9" s="58"/>
      <c r="D9" s="66"/>
      <c r="E9" s="11" t="s">
        <v>14</v>
      </c>
      <c r="F9" s="13">
        <v>146448</v>
      </c>
      <c r="G9" s="13">
        <v>164564</v>
      </c>
      <c r="H9" s="12" t="s">
        <v>12</v>
      </c>
      <c r="I9" s="25">
        <v>500</v>
      </c>
      <c r="J9" s="13"/>
      <c r="K9" s="13">
        <v>153770.4</v>
      </c>
      <c r="L9" s="14" t="s">
        <v>18</v>
      </c>
    </row>
    <row r="10" spans="1:12" ht="25.5" x14ac:dyDescent="0.2">
      <c r="A10" s="54"/>
      <c r="B10" s="56"/>
      <c r="C10" s="51" t="s">
        <v>25</v>
      </c>
      <c r="D10" s="51" t="s">
        <v>26</v>
      </c>
      <c r="E10" s="11" t="s">
        <v>11</v>
      </c>
      <c r="F10" s="13">
        <v>2</v>
      </c>
      <c r="G10" s="13">
        <v>2</v>
      </c>
      <c r="H10" s="13">
        <v>2</v>
      </c>
      <c r="I10" s="25">
        <v>2</v>
      </c>
      <c r="J10" s="13"/>
      <c r="K10" s="13">
        <v>2</v>
      </c>
      <c r="L10" s="14" t="s">
        <v>27</v>
      </c>
    </row>
    <row r="11" spans="1:12" ht="38.25" x14ac:dyDescent="0.2">
      <c r="A11" s="54"/>
      <c r="B11" s="56"/>
      <c r="C11" s="52"/>
      <c r="D11" s="52"/>
      <c r="E11" s="11" t="s">
        <v>14</v>
      </c>
      <c r="F11" s="13">
        <v>28365</v>
      </c>
      <c r="G11" s="13">
        <f>10355+106019</f>
        <v>116374</v>
      </c>
      <c r="H11" s="13">
        <v>189237</v>
      </c>
      <c r="I11" s="25">
        <v>241326</v>
      </c>
      <c r="J11" s="13"/>
      <c r="K11" s="13">
        <v>50000</v>
      </c>
      <c r="L11" s="14" t="s">
        <v>28</v>
      </c>
    </row>
    <row r="12" spans="1:12" x14ac:dyDescent="0.2">
      <c r="A12" s="54"/>
      <c r="B12" s="57"/>
      <c r="C12" s="62" t="s">
        <v>29</v>
      </c>
      <c r="D12" s="51" t="s">
        <v>30</v>
      </c>
      <c r="E12" s="11" t="s">
        <v>31</v>
      </c>
      <c r="F12" s="13">
        <v>313</v>
      </c>
      <c r="G12" s="13">
        <v>358</v>
      </c>
      <c r="H12" s="13">
        <f>273+95</f>
        <v>368</v>
      </c>
      <c r="I12" s="25">
        <v>755</v>
      </c>
      <c r="J12" s="13"/>
      <c r="K12" s="13">
        <v>375</v>
      </c>
      <c r="L12" s="14" t="s">
        <v>32</v>
      </c>
    </row>
    <row r="13" spans="1:12" ht="38.25" x14ac:dyDescent="0.2">
      <c r="A13" s="54"/>
      <c r="B13" s="57"/>
      <c r="C13" s="63"/>
      <c r="D13" s="52"/>
      <c r="E13" s="11" t="s">
        <v>33</v>
      </c>
      <c r="F13" s="13">
        <f>1541+53078+17046+1106+8149+26824</f>
        <v>107744</v>
      </c>
      <c r="G13" s="13">
        <f>37431+13541+10355+9010+5563+106019</f>
        <v>181919</v>
      </c>
      <c r="H13" s="13">
        <v>298332</v>
      </c>
      <c r="I13" s="25">
        <v>355547</v>
      </c>
      <c r="J13" s="13"/>
      <c r="K13" s="13">
        <v>150000</v>
      </c>
      <c r="L13" s="14" t="s">
        <v>34</v>
      </c>
    </row>
    <row r="14" spans="1:12" ht="38.25" x14ac:dyDescent="0.2">
      <c r="A14" s="54"/>
      <c r="B14" s="56"/>
      <c r="C14" s="53" t="s">
        <v>35</v>
      </c>
      <c r="D14" s="64" t="s">
        <v>36</v>
      </c>
      <c r="E14" s="11" t="s">
        <v>37</v>
      </c>
      <c r="F14" s="13">
        <v>5591735</v>
      </c>
      <c r="G14" s="13">
        <v>655387</v>
      </c>
      <c r="H14" s="13">
        <v>2900</v>
      </c>
      <c r="I14" s="25">
        <v>7882</v>
      </c>
      <c r="J14" s="13"/>
      <c r="K14" s="13">
        <v>5871321.75</v>
      </c>
      <c r="L14" s="14" t="s">
        <v>18</v>
      </c>
    </row>
    <row r="15" spans="1:12" ht="25.5" x14ac:dyDescent="0.2">
      <c r="A15" s="55"/>
      <c r="B15" s="58"/>
      <c r="C15" s="58"/>
      <c r="D15" s="66"/>
      <c r="E15" s="11" t="s">
        <v>31</v>
      </c>
      <c r="F15" s="13">
        <v>875</v>
      </c>
      <c r="G15" s="13">
        <v>825</v>
      </c>
      <c r="H15" s="13">
        <v>27</v>
      </c>
      <c r="I15" s="25">
        <v>216</v>
      </c>
      <c r="J15" s="13"/>
      <c r="K15" s="13">
        <v>918.75</v>
      </c>
      <c r="L15" s="14" t="s">
        <v>18</v>
      </c>
    </row>
    <row r="16" spans="1:12" ht="38.25" x14ac:dyDescent="0.2">
      <c r="A16" s="51" t="s">
        <v>38</v>
      </c>
      <c r="B16" s="60" t="s">
        <v>39</v>
      </c>
      <c r="C16" s="11" t="s">
        <v>40</v>
      </c>
      <c r="D16" s="11" t="s">
        <v>41</v>
      </c>
      <c r="E16" s="11" t="s">
        <v>42</v>
      </c>
      <c r="F16" s="15">
        <v>0.87</v>
      </c>
      <c r="G16" s="15">
        <v>0.873</v>
      </c>
      <c r="H16" s="15">
        <v>0.88400000000000001</v>
      </c>
      <c r="I16" s="26">
        <v>0.88400000000000001</v>
      </c>
      <c r="J16" s="15"/>
      <c r="K16" s="16">
        <v>0.96</v>
      </c>
      <c r="L16" s="14" t="s">
        <v>43</v>
      </c>
    </row>
    <row r="17" spans="1:12" ht="25.5" x14ac:dyDescent="0.2">
      <c r="A17" s="52"/>
      <c r="B17" s="61"/>
      <c r="C17" s="51" t="s">
        <v>44</v>
      </c>
      <c r="D17" s="51" t="s">
        <v>45</v>
      </c>
      <c r="E17" s="11" t="s">
        <v>46</v>
      </c>
      <c r="F17" s="17">
        <v>198.2</v>
      </c>
      <c r="G17" s="17">
        <v>204.6</v>
      </c>
      <c r="H17" s="17">
        <v>210.7</v>
      </c>
      <c r="I17" s="27">
        <v>220.3</v>
      </c>
      <c r="J17" s="17"/>
      <c r="K17" s="17">
        <v>200</v>
      </c>
      <c r="L17" s="14" t="s">
        <v>522</v>
      </c>
    </row>
    <row r="18" spans="1:12" ht="25.5" x14ac:dyDescent="0.2">
      <c r="A18" s="52"/>
      <c r="B18" s="61"/>
      <c r="C18" s="52"/>
      <c r="D18" s="52"/>
      <c r="E18" s="11" t="s">
        <v>47</v>
      </c>
      <c r="F18" s="17">
        <v>81.8</v>
      </c>
      <c r="G18" s="17">
        <v>85.6</v>
      </c>
      <c r="H18" s="17">
        <v>89.6</v>
      </c>
      <c r="I18" s="27">
        <v>96.9</v>
      </c>
      <c r="J18" s="17"/>
      <c r="K18" s="17">
        <v>82</v>
      </c>
      <c r="L18" s="14" t="s">
        <v>522</v>
      </c>
    </row>
    <row r="19" spans="1:12" ht="25.5" x14ac:dyDescent="0.2">
      <c r="A19" s="52"/>
      <c r="B19" s="61"/>
      <c r="C19" s="52"/>
      <c r="D19" s="52"/>
      <c r="E19" s="11" t="s">
        <v>48</v>
      </c>
      <c r="F19" s="17">
        <v>116.5</v>
      </c>
      <c r="G19" s="17">
        <v>119</v>
      </c>
      <c r="H19" s="17">
        <v>121.1</v>
      </c>
      <c r="I19" s="27">
        <v>123</v>
      </c>
      <c r="J19" s="17"/>
      <c r="K19" s="17">
        <v>120</v>
      </c>
      <c r="L19" s="14" t="s">
        <v>522</v>
      </c>
    </row>
    <row r="20" spans="1:12" ht="38.25" x14ac:dyDescent="0.2">
      <c r="A20" s="52"/>
      <c r="B20" s="61"/>
      <c r="C20" s="52"/>
      <c r="D20" s="52"/>
      <c r="E20" s="11" t="s">
        <v>49</v>
      </c>
      <c r="F20" s="12" t="s">
        <v>12</v>
      </c>
      <c r="G20" s="12" t="s">
        <v>12</v>
      </c>
      <c r="H20" s="12" t="s">
        <v>12</v>
      </c>
      <c r="I20" s="24" t="s">
        <v>50</v>
      </c>
      <c r="J20" s="16"/>
      <c r="K20" s="18">
        <v>4</v>
      </c>
      <c r="L20" s="14" t="s">
        <v>523</v>
      </c>
    </row>
    <row r="21" spans="1:12" ht="38.25" x14ac:dyDescent="0.2">
      <c r="A21" s="52"/>
      <c r="B21" s="61"/>
      <c r="C21" s="11" t="s">
        <v>51</v>
      </c>
      <c r="D21" s="11" t="s">
        <v>52</v>
      </c>
      <c r="E21" s="11" t="s">
        <v>49</v>
      </c>
      <c r="F21" s="12" t="s">
        <v>12</v>
      </c>
      <c r="G21" s="12" t="s">
        <v>12</v>
      </c>
      <c r="H21" s="12" t="s">
        <v>12</v>
      </c>
      <c r="I21" s="24" t="s">
        <v>50</v>
      </c>
      <c r="J21" s="16"/>
      <c r="K21" s="18">
        <v>4</v>
      </c>
      <c r="L21" s="14" t="s">
        <v>523</v>
      </c>
    </row>
    <row r="22" spans="1:12" ht="63.75" x14ac:dyDescent="0.2">
      <c r="A22" s="52"/>
      <c r="B22" s="61"/>
      <c r="C22" s="11" t="s">
        <v>53</v>
      </c>
      <c r="D22" s="11" t="s">
        <v>54</v>
      </c>
      <c r="E22" s="11" t="s">
        <v>49</v>
      </c>
      <c r="F22" s="12" t="s">
        <v>12</v>
      </c>
      <c r="G22" s="12" t="s">
        <v>12</v>
      </c>
      <c r="H22" s="12" t="s">
        <v>12</v>
      </c>
      <c r="I22" s="24" t="s">
        <v>50</v>
      </c>
      <c r="J22" s="16"/>
      <c r="K22" s="18">
        <v>4</v>
      </c>
      <c r="L22" s="14" t="s">
        <v>523</v>
      </c>
    </row>
    <row r="23" spans="1:12" ht="25.5" x14ac:dyDescent="0.2">
      <c r="A23" s="52"/>
      <c r="B23" s="61"/>
      <c r="C23" s="53" t="s">
        <v>55</v>
      </c>
      <c r="D23" s="64" t="s">
        <v>56</v>
      </c>
      <c r="E23" s="11" t="s">
        <v>47</v>
      </c>
      <c r="F23" s="18">
        <v>81.8</v>
      </c>
      <c r="G23" s="18">
        <v>85.6</v>
      </c>
      <c r="H23" s="19">
        <v>89.6</v>
      </c>
      <c r="I23" s="28">
        <v>96.9</v>
      </c>
      <c r="J23" s="20"/>
      <c r="K23" s="18">
        <v>82</v>
      </c>
      <c r="L23" s="14" t="s">
        <v>522</v>
      </c>
    </row>
    <row r="24" spans="1:12" ht="45" customHeight="1" x14ac:dyDescent="0.2">
      <c r="A24" s="52"/>
      <c r="B24" s="61"/>
      <c r="C24" s="58"/>
      <c r="D24" s="66"/>
      <c r="E24" s="11" t="s">
        <v>48</v>
      </c>
      <c r="F24" s="18">
        <v>116.5</v>
      </c>
      <c r="G24" s="18">
        <v>119</v>
      </c>
      <c r="H24" s="19">
        <v>121.1</v>
      </c>
      <c r="I24" s="28">
        <v>123</v>
      </c>
      <c r="J24" s="20"/>
      <c r="K24" s="18">
        <v>120</v>
      </c>
      <c r="L24" s="14" t="s">
        <v>522</v>
      </c>
    </row>
    <row r="25" spans="1:12" ht="63.75" x14ac:dyDescent="0.2">
      <c r="A25" s="52"/>
      <c r="B25" s="61"/>
      <c r="C25" s="11" t="s">
        <v>57</v>
      </c>
      <c r="D25" s="11" t="s">
        <v>58</v>
      </c>
      <c r="E25" s="11" t="s">
        <v>59</v>
      </c>
      <c r="F25" s="19">
        <v>15.1</v>
      </c>
      <c r="G25" s="19">
        <v>12</v>
      </c>
      <c r="H25" s="19">
        <v>11.9</v>
      </c>
      <c r="I25" s="29">
        <v>11</v>
      </c>
      <c r="J25" s="19"/>
      <c r="K25" s="19">
        <v>10</v>
      </c>
      <c r="L25" s="14" t="s">
        <v>524</v>
      </c>
    </row>
    <row r="26" spans="1:12" ht="38.25" x14ac:dyDescent="0.2">
      <c r="A26" s="52"/>
      <c r="B26" s="61"/>
      <c r="C26" s="11" t="s">
        <v>60</v>
      </c>
      <c r="D26" s="11" t="s">
        <v>61</v>
      </c>
      <c r="E26" s="11" t="s">
        <v>59</v>
      </c>
      <c r="F26" s="19">
        <v>15.1</v>
      </c>
      <c r="G26" s="19">
        <v>12</v>
      </c>
      <c r="H26" s="19">
        <v>11.9</v>
      </c>
      <c r="I26" s="29">
        <v>11</v>
      </c>
      <c r="J26" s="19"/>
      <c r="K26" s="19">
        <v>10</v>
      </c>
      <c r="L26" s="14" t="s">
        <v>524</v>
      </c>
    </row>
    <row r="27" spans="1:12" ht="51" x14ac:dyDescent="0.2">
      <c r="A27" s="72" t="s">
        <v>62</v>
      </c>
      <c r="B27" s="67" t="s">
        <v>63</v>
      </c>
      <c r="C27" s="53" t="s">
        <v>64</v>
      </c>
      <c r="D27" s="64" t="s">
        <v>534</v>
      </c>
      <c r="E27" s="11" t="s">
        <v>65</v>
      </c>
      <c r="F27" s="18">
        <v>32</v>
      </c>
      <c r="G27" s="13">
        <v>32</v>
      </c>
      <c r="H27" s="13">
        <v>32</v>
      </c>
      <c r="I27" s="25">
        <v>32</v>
      </c>
      <c r="J27" s="13"/>
      <c r="K27" s="13">
        <v>38</v>
      </c>
      <c r="L27" s="14" t="s">
        <v>66</v>
      </c>
    </row>
    <row r="28" spans="1:12" ht="51" x14ac:dyDescent="0.2">
      <c r="A28" s="57"/>
      <c r="B28" s="68"/>
      <c r="C28" s="56"/>
      <c r="D28" s="65"/>
      <c r="E28" s="11" t="s">
        <v>67</v>
      </c>
      <c r="F28" s="18">
        <v>31</v>
      </c>
      <c r="G28" s="13">
        <v>31</v>
      </c>
      <c r="H28" s="13">
        <v>32</v>
      </c>
      <c r="I28" s="25">
        <v>34</v>
      </c>
      <c r="J28" s="13"/>
      <c r="K28" s="13">
        <v>35</v>
      </c>
      <c r="L28" s="14" t="s">
        <v>66</v>
      </c>
    </row>
    <row r="29" spans="1:12" ht="51" x14ac:dyDescent="0.2">
      <c r="A29" s="57"/>
      <c r="B29" s="68"/>
      <c r="C29" s="56"/>
      <c r="D29" s="65"/>
      <c r="E29" s="11" t="s">
        <v>68</v>
      </c>
      <c r="F29" s="18">
        <v>58</v>
      </c>
      <c r="G29" s="13">
        <v>57</v>
      </c>
      <c r="H29" s="13">
        <v>57</v>
      </c>
      <c r="I29" s="25">
        <v>57</v>
      </c>
      <c r="J29" s="13"/>
      <c r="K29" s="13">
        <v>59</v>
      </c>
      <c r="L29" s="14" t="s">
        <v>66</v>
      </c>
    </row>
    <row r="30" spans="1:12" ht="51" x14ac:dyDescent="0.2">
      <c r="A30" s="57"/>
      <c r="B30" s="68"/>
      <c r="C30" s="56"/>
      <c r="D30" s="65"/>
      <c r="E30" s="11" t="s">
        <v>69</v>
      </c>
      <c r="F30" s="18">
        <v>29</v>
      </c>
      <c r="G30" s="13">
        <v>28</v>
      </c>
      <c r="H30" s="13">
        <v>28</v>
      </c>
      <c r="I30" s="25">
        <v>27</v>
      </c>
      <c r="J30" s="13"/>
      <c r="K30" s="13">
        <v>31</v>
      </c>
      <c r="L30" s="14" t="s">
        <v>66</v>
      </c>
    </row>
    <row r="31" spans="1:12" ht="51" x14ac:dyDescent="0.2">
      <c r="A31" s="57"/>
      <c r="B31" s="68"/>
      <c r="C31" s="56"/>
      <c r="D31" s="65"/>
      <c r="E31" s="11" t="s">
        <v>70</v>
      </c>
      <c r="F31" s="18">
        <v>10</v>
      </c>
      <c r="G31" s="13">
        <v>10</v>
      </c>
      <c r="H31" s="13">
        <v>11</v>
      </c>
      <c r="I31" s="25">
        <v>11</v>
      </c>
      <c r="J31" s="13"/>
      <c r="K31" s="13">
        <v>12</v>
      </c>
      <c r="L31" s="14" t="s">
        <v>66</v>
      </c>
    </row>
    <row r="32" spans="1:12" ht="51" x14ac:dyDescent="0.2">
      <c r="A32" s="57"/>
      <c r="B32" s="68"/>
      <c r="C32" s="56"/>
      <c r="D32" s="65"/>
      <c r="E32" s="11" t="s">
        <v>71</v>
      </c>
      <c r="F32" s="18">
        <v>22</v>
      </c>
      <c r="G32" s="13">
        <v>23</v>
      </c>
      <c r="H32" s="13">
        <v>25</v>
      </c>
      <c r="I32" s="25">
        <v>25</v>
      </c>
      <c r="J32" s="13"/>
      <c r="K32" s="13">
        <v>24</v>
      </c>
      <c r="L32" s="14" t="s">
        <v>66</v>
      </c>
    </row>
    <row r="33" spans="1:12" ht="51" x14ac:dyDescent="0.2">
      <c r="A33" s="57"/>
      <c r="B33" s="68"/>
      <c r="C33" s="56"/>
      <c r="D33" s="65"/>
      <c r="E33" s="11" t="s">
        <v>72</v>
      </c>
      <c r="F33" s="18">
        <v>19</v>
      </c>
      <c r="G33" s="13">
        <v>21</v>
      </c>
      <c r="H33" s="13">
        <v>21</v>
      </c>
      <c r="I33" s="25">
        <v>21</v>
      </c>
      <c r="J33" s="13"/>
      <c r="K33" s="13">
        <v>20</v>
      </c>
      <c r="L33" s="14" t="s">
        <v>66</v>
      </c>
    </row>
    <row r="34" spans="1:12" ht="51" x14ac:dyDescent="0.2">
      <c r="A34" s="57"/>
      <c r="B34" s="68"/>
      <c r="C34" s="56"/>
      <c r="D34" s="65"/>
      <c r="E34" s="11" t="s">
        <v>73</v>
      </c>
      <c r="F34" s="18">
        <v>22</v>
      </c>
      <c r="G34" s="13">
        <v>22</v>
      </c>
      <c r="H34" s="13">
        <v>22</v>
      </c>
      <c r="I34" s="25">
        <v>22</v>
      </c>
      <c r="J34" s="13"/>
      <c r="K34" s="13">
        <v>23</v>
      </c>
      <c r="L34" s="14" t="s">
        <v>66</v>
      </c>
    </row>
    <row r="35" spans="1:12" ht="51" x14ac:dyDescent="0.2">
      <c r="A35" s="57"/>
      <c r="B35" s="68"/>
      <c r="C35" s="56"/>
      <c r="D35" s="65"/>
      <c r="E35" s="11" t="s">
        <v>74</v>
      </c>
      <c r="F35" s="18">
        <v>26</v>
      </c>
      <c r="G35" s="13">
        <v>27</v>
      </c>
      <c r="H35" s="13">
        <v>27</v>
      </c>
      <c r="I35" s="25">
        <v>27</v>
      </c>
      <c r="J35" s="13"/>
      <c r="K35" s="13">
        <v>27</v>
      </c>
      <c r="L35" s="14" t="s">
        <v>66</v>
      </c>
    </row>
    <row r="36" spans="1:12" ht="55.5" customHeight="1" x14ac:dyDescent="0.2">
      <c r="A36" s="57"/>
      <c r="B36" s="68"/>
      <c r="C36" s="56"/>
      <c r="D36" s="65"/>
      <c r="E36" s="11" t="s">
        <v>75</v>
      </c>
      <c r="F36" s="18">
        <v>17</v>
      </c>
      <c r="G36" s="13">
        <v>17</v>
      </c>
      <c r="H36" s="13">
        <v>17</v>
      </c>
      <c r="I36" s="25">
        <v>17</v>
      </c>
      <c r="J36" s="13"/>
      <c r="K36" s="13">
        <v>18</v>
      </c>
      <c r="L36" s="14" t="s">
        <v>66</v>
      </c>
    </row>
    <row r="37" spans="1:12" ht="51" x14ac:dyDescent="0.2">
      <c r="A37" s="57"/>
      <c r="B37" s="68"/>
      <c r="C37" s="56"/>
      <c r="D37" s="65"/>
      <c r="E37" s="11" t="s">
        <v>76</v>
      </c>
      <c r="F37" s="18">
        <v>15</v>
      </c>
      <c r="G37" s="13">
        <v>16</v>
      </c>
      <c r="H37" s="13">
        <v>17</v>
      </c>
      <c r="I37" s="25">
        <v>17</v>
      </c>
      <c r="J37" s="13"/>
      <c r="K37" s="13">
        <v>15</v>
      </c>
      <c r="L37" s="14" t="s">
        <v>66</v>
      </c>
    </row>
    <row r="38" spans="1:12" ht="51" x14ac:dyDescent="0.2">
      <c r="A38" s="57"/>
      <c r="B38" s="68"/>
      <c r="C38" s="56"/>
      <c r="D38" s="65"/>
      <c r="E38" s="11" t="s">
        <v>77</v>
      </c>
      <c r="F38" s="18">
        <v>12</v>
      </c>
      <c r="G38" s="13">
        <v>12</v>
      </c>
      <c r="H38" s="13">
        <v>11</v>
      </c>
      <c r="I38" s="25">
        <v>11</v>
      </c>
      <c r="J38" s="13"/>
      <c r="K38" s="13">
        <v>14</v>
      </c>
      <c r="L38" s="14" t="s">
        <v>66</v>
      </c>
    </row>
    <row r="39" spans="1:12" ht="51" x14ac:dyDescent="0.2">
      <c r="A39" s="57"/>
      <c r="B39" s="68"/>
      <c r="C39" s="56"/>
      <c r="D39" s="65"/>
      <c r="E39" s="11" t="s">
        <v>78</v>
      </c>
      <c r="F39" s="18">
        <v>20</v>
      </c>
      <c r="G39" s="13">
        <v>20</v>
      </c>
      <c r="H39" s="13">
        <v>19</v>
      </c>
      <c r="I39" s="25">
        <v>19</v>
      </c>
      <c r="J39" s="13"/>
      <c r="K39" s="13">
        <v>20</v>
      </c>
      <c r="L39" s="14" t="s">
        <v>66</v>
      </c>
    </row>
    <row r="40" spans="1:12" ht="51" x14ac:dyDescent="0.2">
      <c r="A40" s="57"/>
      <c r="B40" s="68"/>
      <c r="C40" s="56"/>
      <c r="D40" s="65"/>
      <c r="E40" s="11" t="s">
        <v>79</v>
      </c>
      <c r="F40" s="18">
        <v>15</v>
      </c>
      <c r="G40" s="13">
        <v>16</v>
      </c>
      <c r="H40" s="13">
        <v>17</v>
      </c>
      <c r="I40" s="25">
        <v>16</v>
      </c>
      <c r="J40" s="13"/>
      <c r="K40" s="13">
        <v>16</v>
      </c>
      <c r="L40" s="14" t="s">
        <v>66</v>
      </c>
    </row>
    <row r="41" spans="1:12" ht="51" x14ac:dyDescent="0.2">
      <c r="A41" s="57"/>
      <c r="B41" s="68"/>
      <c r="C41" s="56"/>
      <c r="D41" s="65"/>
      <c r="E41" s="11" t="s">
        <v>80</v>
      </c>
      <c r="F41" s="18">
        <v>24</v>
      </c>
      <c r="G41" s="13">
        <v>24</v>
      </c>
      <c r="H41" s="13">
        <v>25</v>
      </c>
      <c r="I41" s="25">
        <v>25</v>
      </c>
      <c r="J41" s="13"/>
      <c r="K41" s="13">
        <v>24</v>
      </c>
      <c r="L41" s="14" t="s">
        <v>66</v>
      </c>
    </row>
    <row r="42" spans="1:12" ht="51" x14ac:dyDescent="0.2">
      <c r="A42" s="57"/>
      <c r="B42" s="68"/>
      <c r="C42" s="56"/>
      <c r="D42" s="65"/>
      <c r="E42" s="11" t="s">
        <v>81</v>
      </c>
      <c r="F42" s="18">
        <v>26</v>
      </c>
      <c r="G42" s="13">
        <v>29</v>
      </c>
      <c r="H42" s="13">
        <v>30</v>
      </c>
      <c r="I42" s="25">
        <v>30</v>
      </c>
      <c r="J42" s="13"/>
      <c r="K42" s="13">
        <v>29</v>
      </c>
      <c r="L42" s="14" t="s">
        <v>66</v>
      </c>
    </row>
    <row r="43" spans="1:12" ht="51" x14ac:dyDescent="0.2">
      <c r="A43" s="57"/>
      <c r="B43" s="68"/>
      <c r="C43" s="56"/>
      <c r="D43" s="65"/>
      <c r="E43" s="11" t="s">
        <v>82</v>
      </c>
      <c r="F43" s="18">
        <v>18</v>
      </c>
      <c r="G43" s="13">
        <v>18</v>
      </c>
      <c r="H43" s="13">
        <v>19</v>
      </c>
      <c r="I43" s="25">
        <v>19</v>
      </c>
      <c r="J43" s="13"/>
      <c r="K43" s="13">
        <v>18</v>
      </c>
      <c r="L43" s="14" t="s">
        <v>66</v>
      </c>
    </row>
    <row r="44" spans="1:12" ht="51" x14ac:dyDescent="0.2">
      <c r="A44" s="57"/>
      <c r="B44" s="68"/>
      <c r="C44" s="56"/>
      <c r="D44" s="65"/>
      <c r="E44" s="11" t="s">
        <v>83</v>
      </c>
      <c r="F44" s="18">
        <v>3</v>
      </c>
      <c r="G44" s="13">
        <v>3</v>
      </c>
      <c r="H44" s="13">
        <v>3</v>
      </c>
      <c r="I44" s="25">
        <v>3</v>
      </c>
      <c r="J44" s="13"/>
      <c r="K44" s="13">
        <v>3</v>
      </c>
      <c r="L44" s="14" t="s">
        <v>66</v>
      </c>
    </row>
    <row r="45" spans="1:12" ht="51" x14ac:dyDescent="0.2">
      <c r="A45" s="57"/>
      <c r="B45" s="68"/>
      <c r="C45" s="56"/>
      <c r="D45" s="65"/>
      <c r="E45" s="11" t="s">
        <v>84</v>
      </c>
      <c r="F45" s="18">
        <v>18</v>
      </c>
      <c r="G45" s="13">
        <v>19</v>
      </c>
      <c r="H45" s="13">
        <v>19</v>
      </c>
      <c r="I45" s="25">
        <v>20</v>
      </c>
      <c r="J45" s="13"/>
      <c r="K45" s="13">
        <v>18</v>
      </c>
      <c r="L45" s="14" t="s">
        <v>66</v>
      </c>
    </row>
    <row r="46" spans="1:12" ht="51" x14ac:dyDescent="0.2">
      <c r="A46" s="57"/>
      <c r="B46" s="68"/>
      <c r="C46" s="56"/>
      <c r="D46" s="65"/>
      <c r="E46" s="11" t="s">
        <v>85</v>
      </c>
      <c r="F46" s="18">
        <v>18</v>
      </c>
      <c r="G46" s="13">
        <v>18</v>
      </c>
      <c r="H46" s="13">
        <v>18</v>
      </c>
      <c r="I46" s="25">
        <v>19</v>
      </c>
      <c r="J46" s="13"/>
      <c r="K46" s="13">
        <v>18</v>
      </c>
      <c r="L46" s="14" t="s">
        <v>66</v>
      </c>
    </row>
    <row r="47" spans="1:12" ht="51" x14ac:dyDescent="0.2">
      <c r="A47" s="57"/>
      <c r="B47" s="68"/>
      <c r="C47" s="56"/>
      <c r="D47" s="65"/>
      <c r="E47" s="11" t="s">
        <v>86</v>
      </c>
      <c r="F47" s="18">
        <v>18</v>
      </c>
      <c r="G47" s="13">
        <v>18</v>
      </c>
      <c r="H47" s="13">
        <v>18</v>
      </c>
      <c r="I47" s="25">
        <v>20</v>
      </c>
      <c r="J47" s="13"/>
      <c r="K47" s="13">
        <v>18</v>
      </c>
      <c r="L47" s="14" t="s">
        <v>66</v>
      </c>
    </row>
    <row r="48" spans="1:12" ht="51" x14ac:dyDescent="0.2">
      <c r="A48" s="57"/>
      <c r="B48" s="68"/>
      <c r="C48" s="56"/>
      <c r="D48" s="65"/>
      <c r="E48" s="11" t="s">
        <v>87</v>
      </c>
      <c r="F48" s="18">
        <v>23</v>
      </c>
      <c r="G48" s="13">
        <v>24</v>
      </c>
      <c r="H48" s="13">
        <v>25</v>
      </c>
      <c r="I48" s="25">
        <v>24</v>
      </c>
      <c r="J48" s="13"/>
      <c r="K48" s="13">
        <v>23</v>
      </c>
      <c r="L48" s="14" t="s">
        <v>66</v>
      </c>
    </row>
    <row r="49" spans="1:12" ht="51" x14ac:dyDescent="0.2">
      <c r="A49" s="57"/>
      <c r="B49" s="68"/>
      <c r="C49" s="56"/>
      <c r="D49" s="65"/>
      <c r="E49" s="11" t="s">
        <v>88</v>
      </c>
      <c r="F49" s="18">
        <v>31</v>
      </c>
      <c r="G49" s="13">
        <v>30</v>
      </c>
      <c r="H49" s="13">
        <v>31</v>
      </c>
      <c r="I49" s="25">
        <v>31</v>
      </c>
      <c r="J49" s="13"/>
      <c r="K49" s="13">
        <v>33</v>
      </c>
      <c r="L49" s="14" t="s">
        <v>66</v>
      </c>
    </row>
    <row r="50" spans="1:12" ht="51" x14ac:dyDescent="0.2">
      <c r="A50" s="57"/>
      <c r="B50" s="68"/>
      <c r="C50" s="56"/>
      <c r="D50" s="65"/>
      <c r="E50" s="11" t="s">
        <v>89</v>
      </c>
      <c r="F50" s="18">
        <v>14</v>
      </c>
      <c r="G50" s="13">
        <v>16</v>
      </c>
      <c r="H50" s="13">
        <v>17</v>
      </c>
      <c r="I50" s="25">
        <v>17</v>
      </c>
      <c r="J50" s="13"/>
      <c r="K50" s="13">
        <v>15</v>
      </c>
      <c r="L50" s="14" t="s">
        <v>66</v>
      </c>
    </row>
    <row r="51" spans="1:12" ht="51" x14ac:dyDescent="0.2">
      <c r="A51" s="57"/>
      <c r="B51" s="68"/>
      <c r="C51" s="58"/>
      <c r="D51" s="66"/>
      <c r="E51" s="11" t="s">
        <v>90</v>
      </c>
      <c r="F51" s="18">
        <v>18</v>
      </c>
      <c r="G51" s="13">
        <v>18</v>
      </c>
      <c r="H51" s="13">
        <v>20</v>
      </c>
      <c r="I51" s="25">
        <v>20</v>
      </c>
      <c r="J51" s="13"/>
      <c r="K51" s="13">
        <v>18</v>
      </c>
      <c r="L51" s="14" t="s">
        <v>66</v>
      </c>
    </row>
    <row r="52" spans="1:12" ht="25.5" x14ac:dyDescent="0.2">
      <c r="A52" s="57"/>
      <c r="B52" s="68"/>
      <c r="C52" s="51" t="s">
        <v>91</v>
      </c>
      <c r="D52" s="51" t="s">
        <v>92</v>
      </c>
      <c r="E52" s="11" t="s">
        <v>93</v>
      </c>
      <c r="F52" s="18">
        <v>3</v>
      </c>
      <c r="G52" s="13">
        <v>4</v>
      </c>
      <c r="H52" s="13">
        <v>4</v>
      </c>
      <c r="I52" s="25">
        <v>4</v>
      </c>
      <c r="J52" s="13"/>
      <c r="K52" s="13">
        <v>4</v>
      </c>
      <c r="L52" s="14" t="s">
        <v>94</v>
      </c>
    </row>
    <row r="53" spans="1:12" ht="25.5" x14ac:dyDescent="0.2">
      <c r="A53" s="57"/>
      <c r="B53" s="68"/>
      <c r="C53" s="52"/>
      <c r="D53" s="52"/>
      <c r="E53" s="11" t="s">
        <v>95</v>
      </c>
      <c r="F53" s="13">
        <v>2104</v>
      </c>
      <c r="G53" s="13">
        <v>2352</v>
      </c>
      <c r="H53" s="13">
        <v>3356</v>
      </c>
      <c r="I53" s="25">
        <v>3207</v>
      </c>
      <c r="J53" s="13"/>
      <c r="K53" s="13">
        <v>2830</v>
      </c>
      <c r="L53" s="14" t="s">
        <v>96</v>
      </c>
    </row>
    <row r="54" spans="1:12" ht="25.5" x14ac:dyDescent="0.2">
      <c r="A54" s="57"/>
      <c r="B54" s="68"/>
      <c r="C54" s="52"/>
      <c r="D54" s="52"/>
      <c r="E54" s="11" t="s">
        <v>97</v>
      </c>
      <c r="F54" s="13">
        <v>1852</v>
      </c>
      <c r="G54" s="13">
        <v>1768</v>
      </c>
      <c r="H54" s="13">
        <v>2162</v>
      </c>
      <c r="I54" s="25">
        <v>2194</v>
      </c>
      <c r="J54" s="13"/>
      <c r="K54" s="13">
        <v>2585</v>
      </c>
      <c r="L54" s="14" t="s">
        <v>98</v>
      </c>
    </row>
    <row r="55" spans="1:12" ht="89.25" x14ac:dyDescent="0.2">
      <c r="A55" s="57"/>
      <c r="B55" s="68"/>
      <c r="C55" s="52"/>
      <c r="D55" s="52"/>
      <c r="E55" s="11" t="s">
        <v>99</v>
      </c>
      <c r="F55" s="16">
        <f>1437/(1437+2104)</f>
        <v>0.40581756565941823</v>
      </c>
      <c r="G55" s="16">
        <f>1896/(1896+1597)</f>
        <v>0.54279988548525626</v>
      </c>
      <c r="H55" s="16">
        <v>0.38878732480195</v>
      </c>
      <c r="I55" s="30">
        <v>0.44</v>
      </c>
      <c r="J55" s="16"/>
      <c r="K55" s="16">
        <v>0.2</v>
      </c>
      <c r="L55" s="14" t="s">
        <v>100</v>
      </c>
    </row>
    <row r="56" spans="1:12" ht="76.5" x14ac:dyDescent="0.2">
      <c r="A56" s="57"/>
      <c r="B56" s="68"/>
      <c r="C56" s="52"/>
      <c r="D56" s="52"/>
      <c r="E56" s="11" t="s">
        <v>101</v>
      </c>
      <c r="F56" s="16">
        <f>1379/(1379+1852)</f>
        <v>0.42680284741566077</v>
      </c>
      <c r="G56" s="16">
        <f>2847/(2847+1618)</f>
        <v>0.63762597984322511</v>
      </c>
      <c r="H56" s="16">
        <v>0.69790058660080301</v>
      </c>
      <c r="I56" s="30">
        <v>0.72</v>
      </c>
      <c r="J56" s="16"/>
      <c r="K56" s="16">
        <v>0.2</v>
      </c>
      <c r="L56" s="14" t="s">
        <v>102</v>
      </c>
    </row>
    <row r="57" spans="1:12" ht="25.5" x14ac:dyDescent="0.2">
      <c r="A57" s="57"/>
      <c r="B57" s="68"/>
      <c r="C57" s="51" t="s">
        <v>103</v>
      </c>
      <c r="D57" s="51" t="s">
        <v>104</v>
      </c>
      <c r="E57" s="11" t="s">
        <v>105</v>
      </c>
      <c r="F57" s="18">
        <v>2</v>
      </c>
      <c r="G57" s="13">
        <v>3</v>
      </c>
      <c r="H57" s="13">
        <v>3</v>
      </c>
      <c r="I57" s="25">
        <v>3</v>
      </c>
      <c r="J57" s="13"/>
      <c r="K57" s="13">
        <v>5</v>
      </c>
      <c r="L57" s="14" t="s">
        <v>106</v>
      </c>
    </row>
    <row r="58" spans="1:12" ht="51" x14ac:dyDescent="0.2">
      <c r="A58" s="57"/>
      <c r="B58" s="68"/>
      <c r="C58" s="52"/>
      <c r="D58" s="52"/>
      <c r="E58" s="11" t="s">
        <v>107</v>
      </c>
      <c r="F58" s="13">
        <v>118162</v>
      </c>
      <c r="G58" s="13">
        <v>133106</v>
      </c>
      <c r="H58" s="13">
        <v>153238</v>
      </c>
      <c r="I58" s="25">
        <v>170524</v>
      </c>
      <c r="J58" s="13"/>
      <c r="K58" s="13">
        <v>141800</v>
      </c>
      <c r="L58" s="14" t="s">
        <v>108</v>
      </c>
    </row>
    <row r="59" spans="1:12" ht="38.25" x14ac:dyDescent="0.2">
      <c r="A59" s="57"/>
      <c r="B59" s="68"/>
      <c r="C59" s="11" t="s">
        <v>109</v>
      </c>
      <c r="D59" s="11" t="s">
        <v>110</v>
      </c>
      <c r="E59" s="11" t="s">
        <v>111</v>
      </c>
      <c r="F59" s="18">
        <v>1</v>
      </c>
      <c r="G59" s="13">
        <v>2</v>
      </c>
      <c r="H59" s="13">
        <v>2</v>
      </c>
      <c r="I59" s="25">
        <v>2</v>
      </c>
      <c r="J59" s="13"/>
      <c r="K59" s="13">
        <v>3</v>
      </c>
      <c r="L59" s="14" t="s">
        <v>112</v>
      </c>
    </row>
    <row r="60" spans="1:12" ht="38.25" x14ac:dyDescent="0.2">
      <c r="A60" s="57"/>
      <c r="B60" s="68"/>
      <c r="C60" s="51" t="s">
        <v>113</v>
      </c>
      <c r="D60" s="51" t="s">
        <v>114</v>
      </c>
      <c r="E60" s="11" t="s">
        <v>115</v>
      </c>
      <c r="F60" s="18">
        <v>4</v>
      </c>
      <c r="G60" s="13">
        <v>6</v>
      </c>
      <c r="H60" s="13">
        <v>6</v>
      </c>
      <c r="I60" s="25">
        <v>6</v>
      </c>
      <c r="J60" s="13"/>
      <c r="K60" s="13">
        <v>7</v>
      </c>
      <c r="L60" s="14" t="s">
        <v>112</v>
      </c>
    </row>
    <row r="61" spans="1:12" ht="38.25" x14ac:dyDescent="0.2">
      <c r="A61" s="57"/>
      <c r="B61" s="68"/>
      <c r="C61" s="52"/>
      <c r="D61" s="52"/>
      <c r="E61" s="11" t="s">
        <v>116</v>
      </c>
      <c r="F61" s="16">
        <f>809/3637</f>
        <v>0.22243607368710475</v>
      </c>
      <c r="G61" s="16">
        <v>0.32</v>
      </c>
      <c r="H61" s="16">
        <v>0.39875389408099698</v>
      </c>
      <c r="I61" s="30">
        <v>0.41</v>
      </c>
      <c r="J61" s="16"/>
      <c r="K61" s="16">
        <v>0.35</v>
      </c>
      <c r="L61" s="14" t="s">
        <v>117</v>
      </c>
    </row>
    <row r="62" spans="1:12" ht="38.25" x14ac:dyDescent="0.2">
      <c r="A62" s="57"/>
      <c r="B62" s="68"/>
      <c r="C62" s="11" t="s">
        <v>118</v>
      </c>
      <c r="D62" s="11" t="s">
        <v>119</v>
      </c>
      <c r="E62" s="11" t="s">
        <v>120</v>
      </c>
      <c r="F62" s="18">
        <v>2</v>
      </c>
      <c r="G62" s="13">
        <v>2</v>
      </c>
      <c r="H62" s="13">
        <v>2</v>
      </c>
      <c r="I62" s="25">
        <v>2</v>
      </c>
      <c r="J62" s="13"/>
      <c r="K62" s="13">
        <v>3</v>
      </c>
      <c r="L62" s="14" t="s">
        <v>112</v>
      </c>
    </row>
    <row r="63" spans="1:12" ht="38.25" x14ac:dyDescent="0.2">
      <c r="A63" s="57"/>
      <c r="B63" s="68"/>
      <c r="C63" s="51" t="s">
        <v>121</v>
      </c>
      <c r="D63" s="51" t="s">
        <v>122</v>
      </c>
      <c r="E63" s="11" t="s">
        <v>123</v>
      </c>
      <c r="F63" s="18">
        <v>15</v>
      </c>
      <c r="G63" s="13">
        <v>15</v>
      </c>
      <c r="H63" s="13">
        <v>15</v>
      </c>
      <c r="I63" s="25">
        <v>15</v>
      </c>
      <c r="J63" s="13"/>
      <c r="K63" s="13">
        <v>20</v>
      </c>
      <c r="L63" s="14" t="s">
        <v>124</v>
      </c>
    </row>
    <row r="64" spans="1:12" ht="25.5" x14ac:dyDescent="0.2">
      <c r="A64" s="57"/>
      <c r="B64" s="68"/>
      <c r="C64" s="52"/>
      <c r="D64" s="52"/>
      <c r="E64" s="11" t="s">
        <v>125</v>
      </c>
      <c r="F64" s="18">
        <v>253</v>
      </c>
      <c r="G64" s="13">
        <v>253</v>
      </c>
      <c r="H64" s="13">
        <v>253</v>
      </c>
      <c r="I64" s="25">
        <v>255</v>
      </c>
      <c r="J64" s="13"/>
      <c r="K64" s="13">
        <f>253+(5*10)</f>
        <v>303</v>
      </c>
      <c r="L64" s="14" t="s">
        <v>126</v>
      </c>
    </row>
    <row r="65" spans="1:12" ht="51" x14ac:dyDescent="0.2">
      <c r="A65" s="57"/>
      <c r="B65" s="68"/>
      <c r="C65" s="52"/>
      <c r="D65" s="52"/>
      <c r="E65" s="11" t="s">
        <v>127</v>
      </c>
      <c r="F65" s="13">
        <v>1433</v>
      </c>
      <c r="G65" s="13">
        <v>1530</v>
      </c>
      <c r="H65" s="13">
        <v>1553</v>
      </c>
      <c r="I65" s="25">
        <v>1606</v>
      </c>
      <c r="J65" s="13"/>
      <c r="K65" s="13">
        <v>1700</v>
      </c>
      <c r="L65" s="14" t="s">
        <v>128</v>
      </c>
    </row>
    <row r="66" spans="1:12" ht="25.5" x14ac:dyDescent="0.2">
      <c r="A66" s="57"/>
      <c r="B66" s="68"/>
      <c r="C66" s="51" t="s">
        <v>129</v>
      </c>
      <c r="D66" s="51" t="s">
        <v>130</v>
      </c>
      <c r="E66" s="11" t="s">
        <v>131</v>
      </c>
      <c r="F66" s="18">
        <v>128</v>
      </c>
      <c r="G66" s="13">
        <v>169</v>
      </c>
      <c r="H66" s="13">
        <v>205</v>
      </c>
      <c r="I66" s="25">
        <v>268</v>
      </c>
      <c r="J66" s="13"/>
      <c r="K66" s="13">
        <v>228</v>
      </c>
      <c r="L66" s="14" t="s">
        <v>132</v>
      </c>
    </row>
    <row r="67" spans="1:12" ht="76.5" x14ac:dyDescent="0.2">
      <c r="A67" s="57"/>
      <c r="B67" s="68"/>
      <c r="C67" s="52"/>
      <c r="D67" s="52"/>
      <c r="E67" s="11" t="s">
        <v>133</v>
      </c>
      <c r="F67" s="16">
        <f>196/(196+128)</f>
        <v>0.60493827160493829</v>
      </c>
      <c r="G67" s="15">
        <f>279/(279+169)</f>
        <v>0.6227678571428571</v>
      </c>
      <c r="H67" s="15">
        <v>0.56818181818181801</v>
      </c>
      <c r="I67" s="26">
        <v>0.52700000000000002</v>
      </c>
      <c r="J67" s="15"/>
      <c r="K67" s="15">
        <v>0.3</v>
      </c>
      <c r="L67" s="14" t="s">
        <v>134</v>
      </c>
    </row>
    <row r="68" spans="1:12" ht="63.75" x14ac:dyDescent="0.2">
      <c r="A68" s="73"/>
      <c r="B68" s="69"/>
      <c r="C68" s="11" t="s">
        <v>135</v>
      </c>
      <c r="D68" s="11" t="s">
        <v>52</v>
      </c>
      <c r="E68" s="11" t="s">
        <v>136</v>
      </c>
      <c r="F68" s="13">
        <v>4605881</v>
      </c>
      <c r="G68" s="13">
        <v>4319393</v>
      </c>
      <c r="H68" s="13">
        <v>4721017</v>
      </c>
      <c r="I68" s="25">
        <v>4963884</v>
      </c>
      <c r="J68" s="13"/>
      <c r="K68" s="13">
        <v>4836175</v>
      </c>
      <c r="L68" s="14" t="s">
        <v>137</v>
      </c>
    </row>
    <row r="69" spans="1:12" ht="63.75" x14ac:dyDescent="0.2">
      <c r="A69" s="52"/>
      <c r="B69" s="60" t="s">
        <v>138</v>
      </c>
      <c r="C69" s="51" t="s">
        <v>139</v>
      </c>
      <c r="D69" s="51" t="s">
        <v>140</v>
      </c>
      <c r="E69" s="11" t="s">
        <v>141</v>
      </c>
      <c r="F69" s="18">
        <v>100</v>
      </c>
      <c r="G69" s="18">
        <v>76</v>
      </c>
      <c r="H69" s="18">
        <v>58</v>
      </c>
      <c r="I69" s="28">
        <v>61</v>
      </c>
      <c r="J69" s="20"/>
      <c r="K69" s="18">
        <v>50</v>
      </c>
      <c r="L69" s="14" t="s">
        <v>142</v>
      </c>
    </row>
    <row r="70" spans="1:12" ht="63.75" x14ac:dyDescent="0.2">
      <c r="A70" s="52"/>
      <c r="B70" s="61"/>
      <c r="C70" s="52"/>
      <c r="D70" s="52"/>
      <c r="E70" s="11" t="s">
        <v>143</v>
      </c>
      <c r="F70" s="18">
        <v>165</v>
      </c>
      <c r="G70" s="18">
        <v>98</v>
      </c>
      <c r="H70" s="18">
        <v>69</v>
      </c>
      <c r="I70" s="28">
        <v>64</v>
      </c>
      <c r="J70" s="20"/>
      <c r="K70" s="18">
        <v>80</v>
      </c>
      <c r="L70" s="14" t="s">
        <v>142</v>
      </c>
    </row>
    <row r="71" spans="1:12" ht="63.75" x14ac:dyDescent="0.2">
      <c r="A71" s="52"/>
      <c r="B71" s="61"/>
      <c r="C71" s="52"/>
      <c r="D71" s="52"/>
      <c r="E71" s="11" t="s">
        <v>144</v>
      </c>
      <c r="F71" s="18">
        <v>99</v>
      </c>
      <c r="G71" s="18">
        <v>68</v>
      </c>
      <c r="H71" s="18">
        <v>50</v>
      </c>
      <c r="I71" s="28">
        <v>15</v>
      </c>
      <c r="J71" s="20"/>
      <c r="K71" s="18">
        <v>50</v>
      </c>
      <c r="L71" s="14" t="s">
        <v>142</v>
      </c>
    </row>
    <row r="72" spans="1:12" ht="76.5" x14ac:dyDescent="0.2">
      <c r="A72" s="52"/>
      <c r="B72" s="61"/>
      <c r="C72" s="52"/>
      <c r="D72" s="52"/>
      <c r="E72" s="11" t="s">
        <v>145</v>
      </c>
      <c r="F72" s="18">
        <v>163</v>
      </c>
      <c r="G72" s="18">
        <v>92</v>
      </c>
      <c r="H72" s="18">
        <v>138</v>
      </c>
      <c r="I72" s="28">
        <v>200</v>
      </c>
      <c r="J72" s="20"/>
      <c r="K72" s="18">
        <v>90</v>
      </c>
      <c r="L72" s="14" t="s">
        <v>142</v>
      </c>
    </row>
    <row r="73" spans="1:12" ht="76.5" x14ac:dyDescent="0.2">
      <c r="A73" s="52"/>
      <c r="B73" s="61"/>
      <c r="C73" s="52"/>
      <c r="D73" s="52"/>
      <c r="E73" s="11" t="s">
        <v>146</v>
      </c>
      <c r="F73" s="18">
        <v>164</v>
      </c>
      <c r="G73" s="18">
        <v>140</v>
      </c>
      <c r="H73" s="18">
        <v>177</v>
      </c>
      <c r="I73" s="28">
        <v>211</v>
      </c>
      <c r="J73" s="20"/>
      <c r="K73" s="18">
        <v>90</v>
      </c>
      <c r="L73" s="14" t="s">
        <v>142</v>
      </c>
    </row>
    <row r="74" spans="1:12" ht="63.75" x14ac:dyDescent="0.2">
      <c r="A74" s="52"/>
      <c r="B74" s="61"/>
      <c r="C74" s="52"/>
      <c r="D74" s="52"/>
      <c r="E74" s="11" t="s">
        <v>147</v>
      </c>
      <c r="F74" s="18">
        <v>43</v>
      </c>
      <c r="G74" s="18">
        <v>31</v>
      </c>
      <c r="H74" s="18">
        <v>44</v>
      </c>
      <c r="I74" s="28">
        <v>32</v>
      </c>
      <c r="J74" s="20"/>
      <c r="K74" s="18">
        <v>30</v>
      </c>
      <c r="L74" s="14" t="s">
        <v>142</v>
      </c>
    </row>
    <row r="75" spans="1:12" ht="63.75" x14ac:dyDescent="0.2">
      <c r="A75" s="70"/>
      <c r="B75" s="61"/>
      <c r="C75" s="62" t="s">
        <v>148</v>
      </c>
      <c r="D75" s="51" t="s">
        <v>149</v>
      </c>
      <c r="E75" s="11" t="s">
        <v>150</v>
      </c>
      <c r="F75" s="18">
        <v>146</v>
      </c>
      <c r="G75" s="18">
        <v>182</v>
      </c>
      <c r="H75" s="18">
        <v>64</v>
      </c>
      <c r="I75" s="28">
        <v>55</v>
      </c>
      <c r="J75" s="20"/>
      <c r="K75" s="18">
        <v>100</v>
      </c>
      <c r="L75" s="14" t="s">
        <v>142</v>
      </c>
    </row>
    <row r="76" spans="1:12" ht="63.75" x14ac:dyDescent="0.2">
      <c r="A76" s="70"/>
      <c r="B76" s="61"/>
      <c r="C76" s="63"/>
      <c r="D76" s="52"/>
      <c r="E76" s="11" t="s">
        <v>151</v>
      </c>
      <c r="F76" s="18">
        <v>574</v>
      </c>
      <c r="G76" s="18">
        <v>453</v>
      </c>
      <c r="H76" s="18">
        <v>383</v>
      </c>
      <c r="I76" s="28">
        <v>315</v>
      </c>
      <c r="J76" s="20"/>
      <c r="K76" s="18">
        <v>365</v>
      </c>
      <c r="L76" s="14" t="s">
        <v>142</v>
      </c>
    </row>
    <row r="77" spans="1:12" ht="63.75" x14ac:dyDescent="0.2">
      <c r="A77" s="70"/>
      <c r="B77" s="61"/>
      <c r="C77" s="63"/>
      <c r="D77" s="52"/>
      <c r="E77" s="11" t="s">
        <v>152</v>
      </c>
      <c r="F77" s="18">
        <v>608</v>
      </c>
      <c r="G77" s="18">
        <v>448</v>
      </c>
      <c r="H77" s="18">
        <v>477</v>
      </c>
      <c r="I77" s="28">
        <v>484</v>
      </c>
      <c r="J77" s="20"/>
      <c r="K77" s="18">
        <v>450</v>
      </c>
      <c r="L77" s="14" t="s">
        <v>142</v>
      </c>
    </row>
    <row r="78" spans="1:12" ht="63.75" x14ac:dyDescent="0.2">
      <c r="A78" s="70"/>
      <c r="B78" s="61"/>
      <c r="C78" s="63"/>
      <c r="D78" s="52"/>
      <c r="E78" s="11" t="s">
        <v>153</v>
      </c>
      <c r="F78" s="18">
        <v>130</v>
      </c>
      <c r="G78" s="18">
        <v>23</v>
      </c>
      <c r="H78" s="18">
        <v>63</v>
      </c>
      <c r="I78" s="28">
        <v>69</v>
      </c>
      <c r="J78" s="20"/>
      <c r="K78" s="18">
        <v>80</v>
      </c>
      <c r="L78" s="14" t="s">
        <v>142</v>
      </c>
    </row>
    <row r="79" spans="1:12" ht="38.25" x14ac:dyDescent="0.2">
      <c r="A79" s="70"/>
      <c r="B79" s="61"/>
      <c r="C79" s="63"/>
      <c r="D79" s="52"/>
      <c r="E79" s="11" t="s">
        <v>154</v>
      </c>
      <c r="F79" s="16">
        <v>0.71</v>
      </c>
      <c r="G79" s="16">
        <f>25378/35750</f>
        <v>0.70987412587412591</v>
      </c>
      <c r="H79" s="16">
        <v>0.71191533131225604</v>
      </c>
      <c r="I79" s="30">
        <v>0.71</v>
      </c>
      <c r="J79" s="16"/>
      <c r="K79" s="16">
        <v>0.75</v>
      </c>
      <c r="L79" s="14" t="s">
        <v>155</v>
      </c>
    </row>
    <row r="80" spans="1:12" ht="51" x14ac:dyDescent="0.2">
      <c r="A80" s="70"/>
      <c r="B80" s="61"/>
      <c r="C80" s="63"/>
      <c r="D80" s="52"/>
      <c r="E80" s="11" t="s">
        <v>156</v>
      </c>
      <c r="F80" s="16">
        <v>0.92</v>
      </c>
      <c r="G80" s="16">
        <f>29492/32414</f>
        <v>0.90985376689084962</v>
      </c>
      <c r="H80" s="16">
        <v>0.90346741385349005</v>
      </c>
      <c r="I80" s="30">
        <v>0.88</v>
      </c>
      <c r="J80" s="16"/>
      <c r="K80" s="16">
        <v>0.94</v>
      </c>
      <c r="L80" s="14" t="s">
        <v>155</v>
      </c>
    </row>
    <row r="81" spans="1:12" ht="63.75" x14ac:dyDescent="0.2">
      <c r="A81" s="52"/>
      <c r="B81" s="61"/>
      <c r="C81" s="51" t="s">
        <v>157</v>
      </c>
      <c r="D81" s="51" t="s">
        <v>158</v>
      </c>
      <c r="E81" s="11" t="s">
        <v>159</v>
      </c>
      <c r="F81" s="12" t="s">
        <v>12</v>
      </c>
      <c r="G81" s="12" t="s">
        <v>12</v>
      </c>
      <c r="H81" s="12" t="s">
        <v>12</v>
      </c>
      <c r="I81" s="28">
        <v>0</v>
      </c>
      <c r="J81" s="20"/>
      <c r="K81" s="18">
        <v>7</v>
      </c>
      <c r="L81" s="14" t="s">
        <v>160</v>
      </c>
    </row>
    <row r="82" spans="1:12" ht="51" x14ac:dyDescent="0.2">
      <c r="A82" s="52"/>
      <c r="B82" s="61"/>
      <c r="C82" s="52"/>
      <c r="D82" s="52"/>
      <c r="E82" s="11" t="s">
        <v>161</v>
      </c>
      <c r="F82" s="13">
        <v>5814</v>
      </c>
      <c r="G82" s="13">
        <v>5372</v>
      </c>
      <c r="H82" s="13">
        <v>5263</v>
      </c>
      <c r="I82" s="25">
        <v>5694</v>
      </c>
      <c r="J82" s="13"/>
      <c r="K82" s="13">
        <v>1120</v>
      </c>
      <c r="L82" s="14" t="s">
        <v>162</v>
      </c>
    </row>
    <row r="83" spans="1:12" ht="76.5" x14ac:dyDescent="0.2">
      <c r="A83" s="52"/>
      <c r="B83" s="61"/>
      <c r="C83" s="52"/>
      <c r="D83" s="52"/>
      <c r="E83" s="11" t="s">
        <v>163</v>
      </c>
      <c r="F83" s="12" t="s">
        <v>164</v>
      </c>
      <c r="G83" s="12" t="s">
        <v>165</v>
      </c>
      <c r="H83" s="12" t="s">
        <v>166</v>
      </c>
      <c r="I83" s="24" t="s">
        <v>167</v>
      </c>
      <c r="J83" s="20"/>
      <c r="K83" s="12" t="s">
        <v>168</v>
      </c>
      <c r="L83" s="14" t="s">
        <v>169</v>
      </c>
    </row>
    <row r="84" spans="1:12" ht="51" x14ac:dyDescent="0.2">
      <c r="A84" s="52"/>
      <c r="B84" s="61"/>
      <c r="C84" s="11" t="s">
        <v>170</v>
      </c>
      <c r="D84" s="11" t="s">
        <v>171</v>
      </c>
      <c r="E84" s="11" t="s">
        <v>172</v>
      </c>
      <c r="F84" s="18">
        <v>8</v>
      </c>
      <c r="G84" s="18">
        <v>8</v>
      </c>
      <c r="H84" s="18">
        <v>8</v>
      </c>
      <c r="I84" s="28">
        <v>8</v>
      </c>
      <c r="J84" s="20"/>
      <c r="K84" s="18">
        <v>25</v>
      </c>
      <c r="L84" s="14" t="s">
        <v>173</v>
      </c>
    </row>
    <row r="85" spans="1:12" ht="25.5" x14ac:dyDescent="0.2">
      <c r="A85" s="52"/>
      <c r="B85" s="61"/>
      <c r="C85" s="51" t="s">
        <v>174</v>
      </c>
      <c r="D85" s="51" t="s">
        <v>175</v>
      </c>
      <c r="E85" s="11" t="s">
        <v>176</v>
      </c>
      <c r="F85" s="18">
        <v>4.2</v>
      </c>
      <c r="G85" s="18">
        <v>3.7</v>
      </c>
      <c r="H85" s="18">
        <v>3.4</v>
      </c>
      <c r="I85" s="28">
        <v>4.8</v>
      </c>
      <c r="J85" s="20"/>
      <c r="K85" s="18">
        <v>3.36</v>
      </c>
      <c r="L85" s="14" t="s">
        <v>521</v>
      </c>
    </row>
    <row r="86" spans="1:12" ht="25.5" x14ac:dyDescent="0.2">
      <c r="A86" s="52"/>
      <c r="B86" s="61"/>
      <c r="C86" s="52"/>
      <c r="D86" s="52"/>
      <c r="E86" s="11" t="s">
        <v>177</v>
      </c>
      <c r="F86" s="18">
        <v>4.3</v>
      </c>
      <c r="G86" s="18">
        <v>4.4000000000000004</v>
      </c>
      <c r="H86" s="18">
        <v>4.0999999999999996</v>
      </c>
      <c r="I86" s="28">
        <v>4.9000000000000004</v>
      </c>
      <c r="J86" s="20"/>
      <c r="K86" s="18">
        <v>3.36</v>
      </c>
      <c r="L86" s="14" t="s">
        <v>521</v>
      </c>
    </row>
    <row r="87" spans="1:12" ht="25.5" x14ac:dyDescent="0.2">
      <c r="A87" s="52"/>
      <c r="B87" s="61"/>
      <c r="C87" s="51" t="s">
        <v>178</v>
      </c>
      <c r="D87" s="51" t="s">
        <v>179</v>
      </c>
      <c r="E87" s="11" t="s">
        <v>180</v>
      </c>
      <c r="F87" s="18">
        <v>63</v>
      </c>
      <c r="G87" s="18">
        <v>57</v>
      </c>
      <c r="H87" s="18">
        <v>57</v>
      </c>
      <c r="I87" s="28">
        <v>67</v>
      </c>
      <c r="J87" s="20"/>
      <c r="K87" s="18">
        <f>63+80</f>
        <v>143</v>
      </c>
      <c r="L87" s="14" t="s">
        <v>181</v>
      </c>
    </row>
    <row r="88" spans="1:12" ht="51" x14ac:dyDescent="0.2">
      <c r="A88" s="52"/>
      <c r="B88" s="61"/>
      <c r="C88" s="52"/>
      <c r="D88" s="52"/>
      <c r="E88" s="11" t="s">
        <v>182</v>
      </c>
      <c r="F88" s="13">
        <v>1191</v>
      </c>
      <c r="G88" s="13">
        <v>1384</v>
      </c>
      <c r="H88" s="13">
        <v>1707</v>
      </c>
      <c r="I88" s="25">
        <v>1872</v>
      </c>
      <c r="J88" s="13"/>
      <c r="K88" s="13">
        <v>2380</v>
      </c>
      <c r="L88" s="14" t="s">
        <v>183</v>
      </c>
    </row>
    <row r="89" spans="1:12" ht="38.25" x14ac:dyDescent="0.2">
      <c r="A89" s="52"/>
      <c r="B89" s="61"/>
      <c r="C89" s="51" t="s">
        <v>184</v>
      </c>
      <c r="D89" s="51" t="s">
        <v>185</v>
      </c>
      <c r="E89" s="11" t="s">
        <v>186</v>
      </c>
      <c r="F89" s="12" t="s">
        <v>12</v>
      </c>
      <c r="G89" s="18">
        <v>34</v>
      </c>
      <c r="H89" s="12" t="s">
        <v>12</v>
      </c>
      <c r="I89" s="28">
        <v>0</v>
      </c>
      <c r="J89" s="20"/>
      <c r="K89" s="18">
        <v>250</v>
      </c>
      <c r="L89" s="14" t="s">
        <v>187</v>
      </c>
    </row>
    <row r="90" spans="1:12" ht="38.25" x14ac:dyDescent="0.2">
      <c r="A90" s="52"/>
      <c r="B90" s="61"/>
      <c r="C90" s="52"/>
      <c r="D90" s="52"/>
      <c r="E90" s="11" t="s">
        <v>188</v>
      </c>
      <c r="F90" s="12" t="s">
        <v>12</v>
      </c>
      <c r="G90" s="12" t="s">
        <v>12</v>
      </c>
      <c r="H90" s="12" t="s">
        <v>12</v>
      </c>
      <c r="I90" s="28">
        <v>0</v>
      </c>
      <c r="J90" s="20"/>
      <c r="K90" s="18">
        <v>100</v>
      </c>
      <c r="L90" s="14" t="s">
        <v>187</v>
      </c>
    </row>
    <row r="91" spans="1:12" x14ac:dyDescent="0.2">
      <c r="A91" s="52"/>
      <c r="B91" s="61"/>
      <c r="C91" s="53" t="s">
        <v>189</v>
      </c>
      <c r="D91" s="64" t="s">
        <v>190</v>
      </c>
      <c r="E91" s="11" t="s">
        <v>191</v>
      </c>
      <c r="F91" s="19">
        <v>49.5</v>
      </c>
      <c r="G91" s="19">
        <v>49.4</v>
      </c>
      <c r="H91" s="19">
        <v>51.4</v>
      </c>
      <c r="I91" s="29">
        <v>52.3</v>
      </c>
      <c r="J91" s="19"/>
      <c r="K91" s="19">
        <v>70.599999999999994</v>
      </c>
      <c r="L91" s="14" t="s">
        <v>192</v>
      </c>
    </row>
    <row r="92" spans="1:12" x14ac:dyDescent="0.2">
      <c r="A92" s="52"/>
      <c r="B92" s="61"/>
      <c r="C92" s="56"/>
      <c r="D92" s="65"/>
      <c r="E92" s="11" t="s">
        <v>193</v>
      </c>
      <c r="F92" s="19">
        <v>5.2</v>
      </c>
      <c r="G92" s="19">
        <v>5.5</v>
      </c>
      <c r="H92" s="19">
        <v>5.3</v>
      </c>
      <c r="I92" s="29">
        <v>5.4</v>
      </c>
      <c r="J92" s="19"/>
      <c r="K92" s="19">
        <v>3.6</v>
      </c>
      <c r="L92" s="14" t="s">
        <v>192</v>
      </c>
    </row>
    <row r="93" spans="1:12" x14ac:dyDescent="0.2">
      <c r="A93" s="52"/>
      <c r="B93" s="61"/>
      <c r="C93" s="56"/>
      <c r="D93" s="65"/>
      <c r="E93" s="11" t="s">
        <v>194</v>
      </c>
      <c r="F93" s="19">
        <v>70.5</v>
      </c>
      <c r="G93" s="19">
        <v>65.7</v>
      </c>
      <c r="H93" s="19">
        <v>69.099999999999994</v>
      </c>
      <c r="I93" s="29">
        <v>69.599999999999994</v>
      </c>
      <c r="J93" s="19"/>
      <c r="K93" s="19">
        <v>70.599999999999994</v>
      </c>
      <c r="L93" s="14" t="s">
        <v>192</v>
      </c>
    </row>
    <row r="94" spans="1:12" x14ac:dyDescent="0.2">
      <c r="A94" s="52"/>
      <c r="B94" s="61"/>
      <c r="C94" s="56"/>
      <c r="D94" s="65"/>
      <c r="E94" s="11" t="s">
        <v>195</v>
      </c>
      <c r="F94" s="19">
        <v>5.2</v>
      </c>
      <c r="G94" s="19">
        <v>5.9</v>
      </c>
      <c r="H94" s="19">
        <v>4.9000000000000004</v>
      </c>
      <c r="I94" s="29">
        <v>5.3</v>
      </c>
      <c r="J94" s="19"/>
      <c r="K94" s="19">
        <v>3.6</v>
      </c>
      <c r="L94" s="14" t="s">
        <v>192</v>
      </c>
    </row>
    <row r="95" spans="1:12" ht="25.5" x14ac:dyDescent="0.2">
      <c r="A95" s="52"/>
      <c r="B95" s="61"/>
      <c r="C95" s="56"/>
      <c r="D95" s="65"/>
      <c r="E95" s="11" t="s">
        <v>196</v>
      </c>
      <c r="F95" s="19">
        <v>59.1</v>
      </c>
      <c r="G95" s="19">
        <v>64.599999999999994</v>
      </c>
      <c r="H95" s="19">
        <v>68.5</v>
      </c>
      <c r="I95" s="29">
        <v>66.400000000000006</v>
      </c>
      <c r="J95" s="19"/>
      <c r="K95" s="19">
        <v>70.599999999999994</v>
      </c>
      <c r="L95" s="14" t="s">
        <v>192</v>
      </c>
    </row>
    <row r="96" spans="1:12" ht="25.5" x14ac:dyDescent="0.2">
      <c r="A96" s="52"/>
      <c r="B96" s="61"/>
      <c r="C96" s="58"/>
      <c r="D96" s="66"/>
      <c r="E96" s="11" t="s">
        <v>197</v>
      </c>
      <c r="F96" s="19">
        <v>5.8</v>
      </c>
      <c r="G96" s="19">
        <v>5.0999999999999996</v>
      </c>
      <c r="H96" s="19">
        <v>5.3</v>
      </c>
      <c r="I96" s="29">
        <v>5.4</v>
      </c>
      <c r="J96" s="19"/>
      <c r="K96" s="19">
        <v>3.6</v>
      </c>
      <c r="L96" s="14" t="s">
        <v>192</v>
      </c>
    </row>
    <row r="97" spans="1:12" ht="38.25" x14ac:dyDescent="0.2">
      <c r="A97" s="52"/>
      <c r="B97" s="61"/>
      <c r="C97" s="51" t="s">
        <v>198</v>
      </c>
      <c r="D97" s="51" t="s">
        <v>199</v>
      </c>
      <c r="E97" s="11" t="s">
        <v>200</v>
      </c>
      <c r="F97" s="18">
        <v>2</v>
      </c>
      <c r="G97" s="18">
        <v>2</v>
      </c>
      <c r="H97" s="18">
        <v>2</v>
      </c>
      <c r="I97" s="28">
        <v>2</v>
      </c>
      <c r="J97" s="20"/>
      <c r="K97" s="18">
        <v>3</v>
      </c>
      <c r="L97" s="14" t="s">
        <v>201</v>
      </c>
    </row>
    <row r="98" spans="1:12" ht="76.5" x14ac:dyDescent="0.2">
      <c r="A98" s="52"/>
      <c r="B98" s="61"/>
      <c r="C98" s="52"/>
      <c r="D98" s="52"/>
      <c r="E98" s="11" t="s">
        <v>202</v>
      </c>
      <c r="F98" s="16">
        <v>0.33</v>
      </c>
      <c r="G98" s="16">
        <f>572/898</f>
        <v>0.63697104677060135</v>
      </c>
      <c r="H98" s="16">
        <f>651/1032</f>
        <v>0.6308139534883721</v>
      </c>
      <c r="I98" s="30">
        <v>0.62</v>
      </c>
      <c r="J98" s="16"/>
      <c r="K98" s="16">
        <v>0.5</v>
      </c>
      <c r="L98" s="14" t="s">
        <v>203</v>
      </c>
    </row>
    <row r="99" spans="1:12" ht="76.5" x14ac:dyDescent="0.2">
      <c r="A99" s="52"/>
      <c r="B99" s="61"/>
      <c r="C99" s="52"/>
      <c r="D99" s="52"/>
      <c r="E99" s="11" t="s">
        <v>204</v>
      </c>
      <c r="F99" s="16">
        <v>0.04</v>
      </c>
      <c r="G99" s="16">
        <f>179/1311</f>
        <v>0.13653699466056446</v>
      </c>
      <c r="H99" s="16">
        <f>252/1464</f>
        <v>0.1721311475409836</v>
      </c>
      <c r="I99" s="30">
        <v>0.21</v>
      </c>
      <c r="J99" s="16"/>
      <c r="K99" s="16">
        <v>0.2</v>
      </c>
      <c r="L99" s="14" t="s">
        <v>205</v>
      </c>
    </row>
    <row r="100" spans="1:12" ht="51" x14ac:dyDescent="0.2">
      <c r="A100" s="52"/>
      <c r="B100" s="61"/>
      <c r="C100" s="51" t="s">
        <v>206</v>
      </c>
      <c r="D100" s="51" t="s">
        <v>207</v>
      </c>
      <c r="E100" s="11" t="s">
        <v>208</v>
      </c>
      <c r="F100" s="13">
        <v>2368</v>
      </c>
      <c r="G100" s="13">
        <f>1577+1414</f>
        <v>2991</v>
      </c>
      <c r="H100" s="13">
        <f>1549+1481</f>
        <v>3030</v>
      </c>
      <c r="I100" s="25">
        <v>3148</v>
      </c>
      <c r="J100" s="13"/>
      <c r="K100" s="13">
        <v>4700</v>
      </c>
      <c r="L100" s="14" t="s">
        <v>209</v>
      </c>
    </row>
    <row r="101" spans="1:12" ht="51" x14ac:dyDescent="0.2">
      <c r="A101" s="52"/>
      <c r="B101" s="61"/>
      <c r="C101" s="52"/>
      <c r="D101" s="52"/>
      <c r="E101" s="11" t="s">
        <v>210</v>
      </c>
      <c r="F101" s="13">
        <v>1811</v>
      </c>
      <c r="G101" s="13">
        <f>1195+989</f>
        <v>2184</v>
      </c>
      <c r="H101" s="13">
        <f>1229+1128</f>
        <v>2357</v>
      </c>
      <c r="I101" s="25">
        <v>2364</v>
      </c>
      <c r="J101" s="13"/>
      <c r="K101" s="13">
        <v>3600</v>
      </c>
      <c r="L101" s="14" t="s">
        <v>211</v>
      </c>
    </row>
    <row r="102" spans="1:12" ht="63.75" x14ac:dyDescent="0.2">
      <c r="A102" s="52"/>
      <c r="B102" s="61"/>
      <c r="C102" s="52"/>
      <c r="D102" s="52"/>
      <c r="E102" s="11" t="s">
        <v>212</v>
      </c>
      <c r="F102" s="16">
        <v>0.27</v>
      </c>
      <c r="G102" s="16">
        <f>786/(1577+786)</f>
        <v>0.3326280152348709</v>
      </c>
      <c r="H102" s="16">
        <f>1034/(1549+1034)</f>
        <v>0.40030971738288812</v>
      </c>
      <c r="I102" s="30">
        <v>0.48</v>
      </c>
      <c r="J102" s="16"/>
      <c r="K102" s="16">
        <v>0.2</v>
      </c>
      <c r="L102" s="14" t="s">
        <v>213</v>
      </c>
    </row>
    <row r="103" spans="1:12" ht="38.25" x14ac:dyDescent="0.2">
      <c r="A103" s="52"/>
      <c r="B103" s="61"/>
      <c r="C103" s="51" t="s">
        <v>214</v>
      </c>
      <c r="D103" s="51" t="s">
        <v>215</v>
      </c>
      <c r="E103" s="11" t="s">
        <v>216</v>
      </c>
      <c r="F103" s="13">
        <v>3725</v>
      </c>
      <c r="G103" s="13">
        <v>3740</v>
      </c>
      <c r="H103" s="13">
        <v>4401</v>
      </c>
      <c r="I103" s="25">
        <v>4875</v>
      </c>
      <c r="J103" s="13"/>
      <c r="K103" s="13">
        <v>4660</v>
      </c>
      <c r="L103" s="14" t="s">
        <v>217</v>
      </c>
    </row>
    <row r="104" spans="1:12" ht="63.75" x14ac:dyDescent="0.2">
      <c r="A104" s="52"/>
      <c r="B104" s="61"/>
      <c r="C104" s="52"/>
      <c r="D104" s="52"/>
      <c r="E104" s="11" t="s">
        <v>218</v>
      </c>
      <c r="F104" s="16">
        <v>0.1</v>
      </c>
      <c r="G104" s="16">
        <f>409/(3740+409)</f>
        <v>9.857797059532418E-2</v>
      </c>
      <c r="H104" s="16">
        <f>502/(4401+502)</f>
        <v>0.1023862941056496</v>
      </c>
      <c r="I104" s="30">
        <v>0.11</v>
      </c>
      <c r="J104" s="16"/>
      <c r="K104" s="16">
        <v>0.08</v>
      </c>
      <c r="L104" s="14" t="s">
        <v>213</v>
      </c>
    </row>
    <row r="105" spans="1:12" ht="38.25" x14ac:dyDescent="0.2">
      <c r="A105" s="52"/>
      <c r="B105" s="61"/>
      <c r="C105" s="51" t="s">
        <v>219</v>
      </c>
      <c r="D105" s="51" t="s">
        <v>220</v>
      </c>
      <c r="E105" s="11" t="s">
        <v>221</v>
      </c>
      <c r="F105" s="18">
        <v>279</v>
      </c>
      <c r="G105" s="18">
        <v>322</v>
      </c>
      <c r="H105" s="18">
        <v>538</v>
      </c>
      <c r="I105" s="28">
        <v>595</v>
      </c>
      <c r="J105" s="20"/>
      <c r="K105" s="18">
        <v>500</v>
      </c>
      <c r="L105" s="14" t="s">
        <v>222</v>
      </c>
    </row>
    <row r="106" spans="1:12" ht="63.75" x14ac:dyDescent="0.2">
      <c r="A106" s="52"/>
      <c r="B106" s="61"/>
      <c r="C106" s="52"/>
      <c r="D106" s="52"/>
      <c r="E106" s="11" t="s">
        <v>223</v>
      </c>
      <c r="F106" s="16">
        <v>0.7</v>
      </c>
      <c r="G106" s="16">
        <f>924/(924+322)</f>
        <v>0.7415730337078652</v>
      </c>
      <c r="H106" s="16">
        <f>1142/(1142+538)</f>
        <v>0.67976190476190479</v>
      </c>
      <c r="I106" s="30">
        <v>0.6</v>
      </c>
      <c r="J106" s="16"/>
      <c r="K106" s="16">
        <v>0.5</v>
      </c>
      <c r="L106" s="14" t="s">
        <v>224</v>
      </c>
    </row>
    <row r="107" spans="1:12" ht="25.5" x14ac:dyDescent="0.2">
      <c r="A107" s="52"/>
      <c r="B107" s="61"/>
      <c r="C107" s="51" t="s">
        <v>225</v>
      </c>
      <c r="D107" s="51" t="s">
        <v>226</v>
      </c>
      <c r="E107" s="11" t="s">
        <v>227</v>
      </c>
      <c r="F107" s="13">
        <v>5990</v>
      </c>
      <c r="G107" s="13">
        <v>7384</v>
      </c>
      <c r="H107" s="13">
        <v>8581</v>
      </c>
      <c r="I107" s="25">
        <v>8695</v>
      </c>
      <c r="J107" s="13"/>
      <c r="K107" s="13">
        <v>6300</v>
      </c>
      <c r="L107" s="14" t="s">
        <v>228</v>
      </c>
    </row>
    <row r="108" spans="1:12" ht="25.5" x14ac:dyDescent="0.2">
      <c r="A108" s="52"/>
      <c r="B108" s="61"/>
      <c r="C108" s="52"/>
      <c r="D108" s="52"/>
      <c r="E108" s="11" t="s">
        <v>229</v>
      </c>
      <c r="F108" s="13">
        <v>1641</v>
      </c>
      <c r="G108" s="13">
        <v>2332</v>
      </c>
      <c r="H108" s="13">
        <v>3590</v>
      </c>
      <c r="I108" s="25">
        <v>3761</v>
      </c>
      <c r="J108" s="13"/>
      <c r="K108" s="13">
        <v>2050</v>
      </c>
      <c r="L108" s="14" t="s">
        <v>228</v>
      </c>
    </row>
    <row r="109" spans="1:12" ht="63.75" x14ac:dyDescent="0.2">
      <c r="A109" s="52"/>
      <c r="B109" s="61"/>
      <c r="C109" s="52"/>
      <c r="D109" s="52"/>
      <c r="E109" s="11" t="s">
        <v>230</v>
      </c>
      <c r="F109" s="16">
        <v>0.7</v>
      </c>
      <c r="G109" s="16">
        <v>0.7</v>
      </c>
      <c r="H109" s="16">
        <f>8581/12819</f>
        <v>0.66939698884468368</v>
      </c>
      <c r="I109" s="30">
        <v>0.65</v>
      </c>
      <c r="J109" s="16"/>
      <c r="K109" s="16">
        <v>0.8</v>
      </c>
      <c r="L109" s="14" t="s">
        <v>231</v>
      </c>
    </row>
    <row r="110" spans="1:12" ht="63.75" x14ac:dyDescent="0.2">
      <c r="A110" s="52"/>
      <c r="B110" s="61"/>
      <c r="C110" s="52"/>
      <c r="D110" s="52"/>
      <c r="E110" s="11" t="s">
        <v>232</v>
      </c>
      <c r="F110" s="16">
        <v>0.46</v>
      </c>
      <c r="G110" s="16">
        <v>0.41715405894034802</v>
      </c>
      <c r="H110" s="16">
        <v>0.38</v>
      </c>
      <c r="I110" s="30">
        <v>0.35</v>
      </c>
      <c r="J110" s="16"/>
      <c r="K110" s="16">
        <v>0.25</v>
      </c>
      <c r="L110" s="14" t="s">
        <v>233</v>
      </c>
    </row>
    <row r="111" spans="1:12" ht="63.75" x14ac:dyDescent="0.2">
      <c r="A111" s="52"/>
      <c r="B111" s="61"/>
      <c r="C111" s="52"/>
      <c r="D111" s="52"/>
      <c r="E111" s="11" t="s">
        <v>234</v>
      </c>
      <c r="F111" s="16">
        <v>0.42</v>
      </c>
      <c r="G111" s="16">
        <v>0.40270238064030101</v>
      </c>
      <c r="H111" s="16">
        <v>0.37</v>
      </c>
      <c r="I111" s="30">
        <v>0.33</v>
      </c>
      <c r="J111" s="16"/>
      <c r="K111" s="16">
        <f>(1066-200)/(1066+1987+400)</f>
        <v>0.25079640891977989</v>
      </c>
      <c r="L111" s="14" t="s">
        <v>213</v>
      </c>
    </row>
    <row r="112" spans="1:12" ht="38.25" x14ac:dyDescent="0.2">
      <c r="A112" s="52"/>
      <c r="B112" s="61"/>
      <c r="C112" s="51" t="s">
        <v>235</v>
      </c>
      <c r="D112" s="51" t="s">
        <v>236</v>
      </c>
      <c r="E112" s="11" t="s">
        <v>237</v>
      </c>
      <c r="F112" s="13">
        <v>3806</v>
      </c>
      <c r="G112" s="13">
        <v>4424</v>
      </c>
      <c r="H112" s="13">
        <v>5064</v>
      </c>
      <c r="I112" s="25">
        <v>5814</v>
      </c>
      <c r="J112" s="13"/>
      <c r="K112" s="13">
        <v>4260</v>
      </c>
      <c r="L112" s="14" t="s">
        <v>238</v>
      </c>
    </row>
    <row r="113" spans="1:12" ht="51" x14ac:dyDescent="0.2">
      <c r="A113" s="52"/>
      <c r="B113" s="61"/>
      <c r="C113" s="52"/>
      <c r="D113" s="52"/>
      <c r="E113" s="11" t="s">
        <v>239</v>
      </c>
      <c r="F113" s="13">
        <v>2598</v>
      </c>
      <c r="G113" s="13">
        <v>2712</v>
      </c>
      <c r="H113" s="13">
        <v>2932</v>
      </c>
      <c r="I113" s="25">
        <v>3170</v>
      </c>
      <c r="J113" s="13"/>
      <c r="K113" s="13">
        <v>2900</v>
      </c>
      <c r="L113" s="14" t="s">
        <v>240</v>
      </c>
    </row>
    <row r="114" spans="1:12" ht="25.5" x14ac:dyDescent="0.2">
      <c r="A114" s="52"/>
      <c r="B114" s="61"/>
      <c r="C114" s="52"/>
      <c r="D114" s="52"/>
      <c r="E114" s="11" t="s">
        <v>241</v>
      </c>
      <c r="F114" s="13">
        <v>2337</v>
      </c>
      <c r="G114" s="13">
        <v>2753</v>
      </c>
      <c r="H114" s="13">
        <v>3013</v>
      </c>
      <c r="I114" s="25">
        <v>3189</v>
      </c>
      <c r="J114" s="13"/>
      <c r="K114" s="13">
        <v>2620</v>
      </c>
      <c r="L114" s="14" t="s">
        <v>238</v>
      </c>
    </row>
    <row r="115" spans="1:12" ht="25.5" x14ac:dyDescent="0.2">
      <c r="A115" s="52"/>
      <c r="B115" s="61"/>
      <c r="C115" s="52"/>
      <c r="D115" s="52"/>
      <c r="E115" s="11" t="s">
        <v>242</v>
      </c>
      <c r="F115" s="13">
        <v>1484</v>
      </c>
      <c r="G115" s="13">
        <v>1599</v>
      </c>
      <c r="H115" s="13">
        <v>1661</v>
      </c>
      <c r="I115" s="25">
        <v>1742</v>
      </c>
      <c r="J115" s="13"/>
      <c r="K115" s="13">
        <v>1670</v>
      </c>
      <c r="L115" s="14" t="s">
        <v>238</v>
      </c>
    </row>
    <row r="116" spans="1:12" ht="63.75" x14ac:dyDescent="0.2">
      <c r="A116" s="52"/>
      <c r="B116" s="61"/>
      <c r="C116" s="52"/>
      <c r="D116" s="52"/>
      <c r="E116" s="11" t="s">
        <v>243</v>
      </c>
      <c r="F116" s="16">
        <v>0.21</v>
      </c>
      <c r="G116" s="16">
        <f>41891/(41891+106110)</f>
        <v>0.28304538482848091</v>
      </c>
      <c r="H116" s="16">
        <f>34750/(34750+122582)</f>
        <v>0.22087051585182926</v>
      </c>
      <c r="I116" s="30">
        <v>0.22</v>
      </c>
      <c r="J116" s="16"/>
      <c r="K116" s="16">
        <v>0.18</v>
      </c>
      <c r="L116" s="14" t="s">
        <v>244</v>
      </c>
    </row>
    <row r="117" spans="1:12" ht="63.75" x14ac:dyDescent="0.2">
      <c r="A117" s="52"/>
      <c r="B117" s="61"/>
      <c r="C117" s="51" t="s">
        <v>245</v>
      </c>
      <c r="D117" s="51" t="s">
        <v>246</v>
      </c>
      <c r="E117" s="11" t="s">
        <v>247</v>
      </c>
      <c r="F117" s="13">
        <v>1044</v>
      </c>
      <c r="G117" s="13">
        <v>1151</v>
      </c>
      <c r="H117" s="13">
        <v>1155</v>
      </c>
      <c r="I117" s="25">
        <v>1270</v>
      </c>
      <c r="J117" s="13"/>
      <c r="K117" s="13">
        <v>1500</v>
      </c>
      <c r="L117" s="14" t="s">
        <v>248</v>
      </c>
    </row>
    <row r="118" spans="1:12" ht="63.75" x14ac:dyDescent="0.2">
      <c r="A118" s="52"/>
      <c r="B118" s="61"/>
      <c r="C118" s="52"/>
      <c r="D118" s="52"/>
      <c r="E118" s="11" t="s">
        <v>249</v>
      </c>
      <c r="F118" s="16">
        <v>0.22551928783382799</v>
      </c>
      <c r="G118" s="16">
        <f>336/(336+1151)</f>
        <v>0.22595830531271016</v>
      </c>
      <c r="H118" s="16">
        <f>412/(412+1155)</f>
        <v>0.26292278238672623</v>
      </c>
      <c r="I118" s="30">
        <v>0.26</v>
      </c>
      <c r="J118" s="16"/>
      <c r="K118" s="16">
        <v>0.15</v>
      </c>
      <c r="L118" s="14" t="s">
        <v>250</v>
      </c>
    </row>
    <row r="119" spans="1:12" ht="76.5" x14ac:dyDescent="0.2">
      <c r="A119" s="52"/>
      <c r="B119" s="61"/>
      <c r="C119" s="11" t="s">
        <v>251</v>
      </c>
      <c r="D119" s="11" t="s">
        <v>252</v>
      </c>
      <c r="E119" s="11" t="s">
        <v>253</v>
      </c>
      <c r="F119" s="18">
        <v>26</v>
      </c>
      <c r="G119" s="18">
        <v>17</v>
      </c>
      <c r="H119" s="18">
        <v>12</v>
      </c>
      <c r="I119" s="28">
        <v>10</v>
      </c>
      <c r="J119" s="20"/>
      <c r="K119" s="18">
        <v>30</v>
      </c>
      <c r="L119" s="14" t="s">
        <v>254</v>
      </c>
    </row>
    <row r="120" spans="1:12" ht="38.25" x14ac:dyDescent="0.2">
      <c r="A120" s="52"/>
      <c r="B120" s="61"/>
      <c r="C120" s="51" t="s">
        <v>255</v>
      </c>
      <c r="D120" s="51" t="s">
        <v>256</v>
      </c>
      <c r="E120" s="11" t="s">
        <v>200</v>
      </c>
      <c r="F120" s="18">
        <v>4</v>
      </c>
      <c r="G120" s="18">
        <v>6</v>
      </c>
      <c r="H120" s="18">
        <v>6</v>
      </c>
      <c r="I120" s="28">
        <v>6</v>
      </c>
      <c r="J120" s="20"/>
      <c r="K120" s="18">
        <v>7</v>
      </c>
      <c r="L120" s="14" t="s">
        <v>112</v>
      </c>
    </row>
    <row r="121" spans="1:12" ht="38.25" x14ac:dyDescent="0.2">
      <c r="A121" s="52"/>
      <c r="B121" s="61"/>
      <c r="C121" s="52"/>
      <c r="D121" s="52"/>
      <c r="E121" s="11" t="s">
        <v>257</v>
      </c>
      <c r="F121" s="16">
        <v>0.222436073687105</v>
      </c>
      <c r="G121" s="16">
        <v>0.32</v>
      </c>
      <c r="H121" s="16">
        <v>0.39875389408099698</v>
      </c>
      <c r="I121" s="30">
        <v>0.41</v>
      </c>
      <c r="J121" s="16"/>
      <c r="K121" s="16">
        <v>0.35</v>
      </c>
      <c r="L121" s="14" t="s">
        <v>117</v>
      </c>
    </row>
    <row r="122" spans="1:12" ht="51" x14ac:dyDescent="0.2">
      <c r="A122" s="52"/>
      <c r="B122" s="61"/>
      <c r="C122" s="51" t="s">
        <v>258</v>
      </c>
      <c r="D122" s="51" t="s">
        <v>259</v>
      </c>
      <c r="E122" s="11" t="s">
        <v>260</v>
      </c>
      <c r="F122" s="13">
        <v>3158</v>
      </c>
      <c r="G122" s="13">
        <v>3548</v>
      </c>
      <c r="H122" s="13">
        <v>3914</v>
      </c>
      <c r="I122" s="25">
        <v>3927</v>
      </c>
      <c r="J122" s="13"/>
      <c r="K122" s="13">
        <v>3400</v>
      </c>
      <c r="L122" s="14" t="s">
        <v>261</v>
      </c>
    </row>
    <row r="123" spans="1:12" ht="89.25" x14ac:dyDescent="0.2">
      <c r="A123" s="52"/>
      <c r="B123" s="61"/>
      <c r="C123" s="52"/>
      <c r="D123" s="52"/>
      <c r="E123" s="11" t="s">
        <v>262</v>
      </c>
      <c r="F123" s="16">
        <f>3158/4275</f>
        <v>0.73871345029239766</v>
      </c>
      <c r="G123" s="16">
        <f>3548/4621</f>
        <v>0.76779917766717165</v>
      </c>
      <c r="H123" s="16">
        <v>0.80073649754500797</v>
      </c>
      <c r="I123" s="30">
        <v>0.82</v>
      </c>
      <c r="J123" s="16"/>
      <c r="K123" s="16">
        <v>0.8</v>
      </c>
      <c r="L123" s="14" t="s">
        <v>263</v>
      </c>
    </row>
    <row r="124" spans="1:12" ht="51" x14ac:dyDescent="0.2">
      <c r="A124" s="52"/>
      <c r="B124" s="61"/>
      <c r="C124" s="52"/>
      <c r="D124" s="52"/>
      <c r="E124" s="11" t="s">
        <v>264</v>
      </c>
      <c r="F124" s="18">
        <v>187</v>
      </c>
      <c r="G124" s="18">
        <v>176</v>
      </c>
      <c r="H124" s="18">
        <v>184</v>
      </c>
      <c r="I124" s="28">
        <v>218</v>
      </c>
      <c r="J124" s="20"/>
      <c r="K124" s="18">
        <v>220</v>
      </c>
      <c r="L124" s="14" t="s">
        <v>261</v>
      </c>
    </row>
    <row r="125" spans="1:12" ht="25.5" x14ac:dyDescent="0.2">
      <c r="A125" s="52"/>
      <c r="B125" s="61"/>
      <c r="C125" s="51" t="s">
        <v>265</v>
      </c>
      <c r="D125" s="51" t="s">
        <v>266</v>
      </c>
      <c r="E125" s="11" t="s">
        <v>267</v>
      </c>
      <c r="F125" s="18">
        <v>1</v>
      </c>
      <c r="G125" s="12" t="s">
        <v>12</v>
      </c>
      <c r="H125" s="18">
        <v>83</v>
      </c>
      <c r="I125" s="28">
        <v>2</v>
      </c>
      <c r="J125" s="20"/>
      <c r="K125" s="18">
        <v>5</v>
      </c>
      <c r="L125" s="14" t="s">
        <v>268</v>
      </c>
    </row>
    <row r="126" spans="1:12" ht="25.5" x14ac:dyDescent="0.2">
      <c r="A126" s="52"/>
      <c r="B126" s="61"/>
      <c r="C126" s="52"/>
      <c r="D126" s="52"/>
      <c r="E126" s="11" t="s">
        <v>269</v>
      </c>
      <c r="F126" s="18">
        <v>50</v>
      </c>
      <c r="G126" s="12" t="s">
        <v>12</v>
      </c>
      <c r="H126" s="18">
        <v>2571</v>
      </c>
      <c r="I126" s="28">
        <v>16</v>
      </c>
      <c r="J126" s="20"/>
      <c r="K126" s="18">
        <v>250</v>
      </c>
      <c r="L126" s="14" t="s">
        <v>268</v>
      </c>
    </row>
    <row r="127" spans="1:12" ht="25.5" x14ac:dyDescent="0.2">
      <c r="A127" s="52"/>
      <c r="B127" s="61"/>
      <c r="C127" s="51" t="s">
        <v>270</v>
      </c>
      <c r="D127" s="51" t="s">
        <v>271</v>
      </c>
      <c r="E127" s="11" t="s">
        <v>272</v>
      </c>
      <c r="F127" s="13">
        <v>833</v>
      </c>
      <c r="G127" s="13">
        <v>1717</v>
      </c>
      <c r="H127" s="13">
        <v>118</v>
      </c>
      <c r="I127" s="25">
        <v>202</v>
      </c>
      <c r="J127" s="13"/>
      <c r="K127" s="13">
        <v>460</v>
      </c>
      <c r="L127" s="14" t="s">
        <v>273</v>
      </c>
    </row>
    <row r="128" spans="1:12" ht="51" x14ac:dyDescent="0.2">
      <c r="A128" s="52"/>
      <c r="B128" s="61"/>
      <c r="C128" s="52"/>
      <c r="D128" s="52"/>
      <c r="E128" s="11" t="s">
        <v>274</v>
      </c>
      <c r="F128" s="13">
        <v>25923</v>
      </c>
      <c r="G128" s="13">
        <v>25518</v>
      </c>
      <c r="H128" s="13">
        <v>27289</v>
      </c>
      <c r="I128" s="25">
        <v>28742</v>
      </c>
      <c r="J128" s="13"/>
      <c r="K128" s="13">
        <v>25145</v>
      </c>
      <c r="L128" s="14" t="s">
        <v>275</v>
      </c>
    </row>
    <row r="129" spans="1:12" ht="38.25" x14ac:dyDescent="0.2">
      <c r="A129" s="53" t="s">
        <v>276</v>
      </c>
      <c r="B129" s="67" t="s">
        <v>277</v>
      </c>
      <c r="C129" s="51" t="s">
        <v>278</v>
      </c>
      <c r="D129" s="51" t="s">
        <v>279</v>
      </c>
      <c r="E129" s="11" t="s">
        <v>280</v>
      </c>
      <c r="F129" s="18">
        <v>2</v>
      </c>
      <c r="G129" s="18">
        <v>6</v>
      </c>
      <c r="H129" s="18">
        <v>8</v>
      </c>
      <c r="I129" s="28">
        <v>8</v>
      </c>
      <c r="J129" s="20"/>
      <c r="K129" s="18">
        <v>13</v>
      </c>
      <c r="L129" s="14" t="s">
        <v>280</v>
      </c>
    </row>
    <row r="130" spans="1:12" ht="38.25" x14ac:dyDescent="0.2">
      <c r="A130" s="56"/>
      <c r="B130" s="68"/>
      <c r="C130" s="52"/>
      <c r="D130" s="52"/>
      <c r="E130" s="11" t="s">
        <v>281</v>
      </c>
      <c r="F130" s="15">
        <f t="shared" ref="F130:F134" si="0">279413/1740832</f>
        <v>0.16050543648094703</v>
      </c>
      <c r="G130" s="15">
        <f t="shared" ref="G130:G134" si="1">771856/1692409</f>
        <v>0.45606942529849465</v>
      </c>
      <c r="H130" s="15">
        <f t="shared" ref="H130:H134" si="2">940586/1692409</f>
        <v>0.55576754791542704</v>
      </c>
      <c r="I130" s="26">
        <v>0.56200000000000006</v>
      </c>
      <c r="J130" s="15"/>
      <c r="K130" s="16">
        <f t="shared" ref="K130:K134" si="3">1740832/1740832</f>
        <v>1</v>
      </c>
      <c r="L130" s="14" t="s">
        <v>281</v>
      </c>
    </row>
    <row r="131" spans="1:12" ht="51" x14ac:dyDescent="0.2">
      <c r="A131" s="56"/>
      <c r="B131" s="68"/>
      <c r="C131" s="51" t="s">
        <v>282</v>
      </c>
      <c r="D131" s="51" t="s">
        <v>283</v>
      </c>
      <c r="E131" s="11" t="s">
        <v>284</v>
      </c>
      <c r="F131" s="18">
        <v>32</v>
      </c>
      <c r="G131" s="18">
        <f>ROUND(289250/(289504.47/17261)/365,0)</f>
        <v>47</v>
      </c>
      <c r="H131" s="18">
        <f>ROUND(368952/(330407.91/19874)/365,0)</f>
        <v>61</v>
      </c>
      <c r="I131" s="28">
        <v>51</v>
      </c>
      <c r="J131" s="20"/>
      <c r="K131" s="18">
        <v>75</v>
      </c>
      <c r="L131" s="14" t="s">
        <v>285</v>
      </c>
    </row>
    <row r="132" spans="1:12" ht="38.25" x14ac:dyDescent="0.2">
      <c r="A132" s="56"/>
      <c r="B132" s="68"/>
      <c r="C132" s="52"/>
      <c r="D132" s="52"/>
      <c r="E132" s="11" t="s">
        <v>286</v>
      </c>
      <c r="F132" s="12" t="s">
        <v>12</v>
      </c>
      <c r="G132" s="12" t="s">
        <v>12</v>
      </c>
      <c r="H132" s="12" t="s">
        <v>12</v>
      </c>
      <c r="I132" s="28">
        <v>0</v>
      </c>
      <c r="J132" s="20"/>
      <c r="K132" s="18">
        <v>2</v>
      </c>
      <c r="L132" s="14" t="s">
        <v>280</v>
      </c>
    </row>
    <row r="133" spans="1:12" ht="38.25" x14ac:dyDescent="0.2">
      <c r="A133" s="56"/>
      <c r="B133" s="68"/>
      <c r="C133" s="51" t="s">
        <v>287</v>
      </c>
      <c r="D133" s="51" t="s">
        <v>288</v>
      </c>
      <c r="E133" s="11" t="s">
        <v>280</v>
      </c>
      <c r="F133" s="18">
        <v>2</v>
      </c>
      <c r="G133" s="18">
        <v>6</v>
      </c>
      <c r="H133" s="18">
        <v>8</v>
      </c>
      <c r="I133" s="28">
        <v>8</v>
      </c>
      <c r="J133" s="20"/>
      <c r="K133" s="18">
        <v>13</v>
      </c>
      <c r="L133" s="14" t="s">
        <v>280</v>
      </c>
    </row>
    <row r="134" spans="1:12" ht="38.25" x14ac:dyDescent="0.2">
      <c r="A134" s="56"/>
      <c r="B134" s="68"/>
      <c r="C134" s="52"/>
      <c r="D134" s="52"/>
      <c r="E134" s="11" t="s">
        <v>281</v>
      </c>
      <c r="F134" s="15">
        <f t="shared" si="0"/>
        <v>0.16050543648094703</v>
      </c>
      <c r="G134" s="15">
        <f t="shared" si="1"/>
        <v>0.45606942529849465</v>
      </c>
      <c r="H134" s="15">
        <f t="shared" si="2"/>
        <v>0.55576754791542704</v>
      </c>
      <c r="I134" s="26">
        <v>0.56200000000000006</v>
      </c>
      <c r="J134" s="15"/>
      <c r="K134" s="16">
        <f t="shared" si="3"/>
        <v>1</v>
      </c>
      <c r="L134" s="14" t="s">
        <v>281</v>
      </c>
    </row>
    <row r="135" spans="1:12" ht="51" x14ac:dyDescent="0.2">
      <c r="A135" s="56"/>
      <c r="B135" s="68"/>
      <c r="C135" s="51" t="s">
        <v>289</v>
      </c>
      <c r="D135" s="51" t="s">
        <v>290</v>
      </c>
      <c r="E135" s="11" t="s">
        <v>291</v>
      </c>
      <c r="F135" s="12" t="s">
        <v>12</v>
      </c>
      <c r="G135" s="12" t="s">
        <v>12</v>
      </c>
      <c r="H135" s="18">
        <v>10</v>
      </c>
      <c r="I135" s="24" t="s">
        <v>50</v>
      </c>
      <c r="J135" s="20"/>
      <c r="K135" s="18">
        <v>90</v>
      </c>
      <c r="L135" s="14" t="s">
        <v>292</v>
      </c>
    </row>
    <row r="136" spans="1:12" ht="51" x14ac:dyDescent="0.2">
      <c r="A136" s="56"/>
      <c r="B136" s="68"/>
      <c r="C136" s="52"/>
      <c r="D136" s="52"/>
      <c r="E136" s="11" t="s">
        <v>293</v>
      </c>
      <c r="F136" s="12" t="s">
        <v>12</v>
      </c>
      <c r="G136" s="12" t="s">
        <v>12</v>
      </c>
      <c r="H136" s="12" t="s">
        <v>12</v>
      </c>
      <c r="I136" s="24" t="s">
        <v>50</v>
      </c>
      <c r="J136" s="20"/>
      <c r="K136" s="18">
        <v>45</v>
      </c>
      <c r="L136" s="14" t="s">
        <v>292</v>
      </c>
    </row>
    <row r="137" spans="1:12" ht="51" x14ac:dyDescent="0.2">
      <c r="A137" s="56"/>
      <c r="B137" s="68"/>
      <c r="C137" s="52"/>
      <c r="D137" s="52"/>
      <c r="E137" s="11" t="s">
        <v>294</v>
      </c>
      <c r="F137" s="12" t="s">
        <v>12</v>
      </c>
      <c r="G137" s="12" t="s">
        <v>12</v>
      </c>
      <c r="H137" s="18">
        <v>3</v>
      </c>
      <c r="I137" s="24" t="s">
        <v>50</v>
      </c>
      <c r="J137" s="20"/>
      <c r="K137" s="18">
        <v>15</v>
      </c>
      <c r="L137" s="14" t="s">
        <v>292</v>
      </c>
    </row>
    <row r="138" spans="1:12" ht="25.5" x14ac:dyDescent="0.2">
      <c r="A138" s="56"/>
      <c r="B138" s="68"/>
      <c r="C138" s="52"/>
      <c r="D138" s="52"/>
      <c r="E138" s="11" t="s">
        <v>295</v>
      </c>
      <c r="F138" s="18">
        <v>181</v>
      </c>
      <c r="G138" s="18">
        <v>230</v>
      </c>
      <c r="H138" s="18">
        <v>220</v>
      </c>
      <c r="I138" s="28">
        <v>240</v>
      </c>
      <c r="J138" s="20"/>
      <c r="K138" s="18">
        <v>230</v>
      </c>
      <c r="L138" s="14" t="s">
        <v>296</v>
      </c>
    </row>
    <row r="139" spans="1:12" ht="38.25" x14ac:dyDescent="0.2">
      <c r="A139" s="56"/>
      <c r="B139" s="68"/>
      <c r="C139" s="51" t="s">
        <v>297</v>
      </c>
      <c r="D139" s="51" t="s">
        <v>298</v>
      </c>
      <c r="E139" s="11" t="s">
        <v>299</v>
      </c>
      <c r="F139" s="18">
        <v>164</v>
      </c>
      <c r="G139" s="18">
        <v>182</v>
      </c>
      <c r="H139" s="18">
        <v>190</v>
      </c>
      <c r="I139" s="28">
        <v>209</v>
      </c>
      <c r="J139" s="20"/>
      <c r="K139" s="18">
        <v>185</v>
      </c>
      <c r="L139" s="14" t="s">
        <v>300</v>
      </c>
    </row>
    <row r="140" spans="1:12" ht="38.25" x14ac:dyDescent="0.2">
      <c r="A140" s="56"/>
      <c r="B140" s="68"/>
      <c r="C140" s="52"/>
      <c r="D140" s="52"/>
      <c r="E140" s="11" t="s">
        <v>301</v>
      </c>
      <c r="F140" s="18">
        <v>12</v>
      </c>
      <c r="G140" s="18">
        <v>11</v>
      </c>
      <c r="H140" s="18">
        <v>13</v>
      </c>
      <c r="I140" s="28">
        <v>14</v>
      </c>
      <c r="J140" s="20"/>
      <c r="K140" s="18">
        <v>19</v>
      </c>
      <c r="L140" s="14" t="s">
        <v>300</v>
      </c>
    </row>
    <row r="141" spans="1:12" ht="38.25" x14ac:dyDescent="0.2">
      <c r="A141" s="56"/>
      <c r="B141" s="68"/>
      <c r="C141" s="52"/>
      <c r="D141" s="52"/>
      <c r="E141" s="11" t="s">
        <v>302</v>
      </c>
      <c r="F141" s="18">
        <v>55</v>
      </c>
      <c r="G141" s="18">
        <v>57</v>
      </c>
      <c r="H141" s="18">
        <v>63</v>
      </c>
      <c r="I141" s="28">
        <v>74</v>
      </c>
      <c r="J141" s="20"/>
      <c r="K141" s="18">
        <v>60</v>
      </c>
      <c r="L141" s="14" t="s">
        <v>300</v>
      </c>
    </row>
    <row r="142" spans="1:12" ht="38.25" x14ac:dyDescent="0.2">
      <c r="A142" s="56"/>
      <c r="B142" s="68"/>
      <c r="C142" s="52"/>
      <c r="D142" s="52"/>
      <c r="E142" s="11" t="s">
        <v>303</v>
      </c>
      <c r="F142" s="18">
        <v>141</v>
      </c>
      <c r="G142" s="18">
        <v>179</v>
      </c>
      <c r="H142" s="18">
        <v>194</v>
      </c>
      <c r="I142" s="28">
        <v>256</v>
      </c>
      <c r="J142" s="20"/>
      <c r="K142" s="18">
        <v>150</v>
      </c>
      <c r="L142" s="14" t="s">
        <v>300</v>
      </c>
    </row>
    <row r="143" spans="1:12" ht="114.75" x14ac:dyDescent="0.2">
      <c r="A143" s="56"/>
      <c r="B143" s="68"/>
      <c r="C143" s="53" t="s">
        <v>304</v>
      </c>
      <c r="D143" s="64" t="s">
        <v>305</v>
      </c>
      <c r="E143" s="11" t="s">
        <v>306</v>
      </c>
      <c r="F143" s="18">
        <v>16</v>
      </c>
      <c r="G143" s="18">
        <v>17</v>
      </c>
      <c r="H143" s="18">
        <v>18</v>
      </c>
      <c r="I143" s="28">
        <v>19</v>
      </c>
      <c r="J143" s="20"/>
      <c r="K143" s="18">
        <v>25</v>
      </c>
      <c r="L143" s="14" t="s">
        <v>292</v>
      </c>
    </row>
    <row r="144" spans="1:12" ht="76.5" x14ac:dyDescent="0.2">
      <c r="A144" s="56"/>
      <c r="B144" s="68"/>
      <c r="C144" s="56"/>
      <c r="D144" s="65"/>
      <c r="E144" s="11" t="s">
        <v>307</v>
      </c>
      <c r="F144" s="13">
        <v>74832</v>
      </c>
      <c r="G144" s="13">
        <v>108565</v>
      </c>
      <c r="H144" s="13">
        <v>112010</v>
      </c>
      <c r="I144" s="25">
        <v>110534</v>
      </c>
      <c r="J144" s="13"/>
      <c r="K144" s="13">
        <v>116925</v>
      </c>
      <c r="L144" s="14" t="s">
        <v>308</v>
      </c>
    </row>
    <row r="145" spans="1:12" ht="76.5" x14ac:dyDescent="0.2">
      <c r="A145" s="56"/>
      <c r="B145" s="68"/>
      <c r="C145" s="56"/>
      <c r="D145" s="65"/>
      <c r="E145" s="11" t="s">
        <v>309</v>
      </c>
      <c r="F145" s="13">
        <v>6834</v>
      </c>
      <c r="G145" s="13">
        <v>9821</v>
      </c>
      <c r="H145" s="13">
        <v>9298</v>
      </c>
      <c r="I145" s="25">
        <v>8792</v>
      </c>
      <c r="J145" s="13"/>
      <c r="K145" s="13">
        <v>10678</v>
      </c>
      <c r="L145" s="14" t="s">
        <v>308</v>
      </c>
    </row>
    <row r="146" spans="1:12" ht="140.25" x14ac:dyDescent="0.2">
      <c r="A146" s="56"/>
      <c r="B146" s="68"/>
      <c r="C146" s="56"/>
      <c r="D146" s="65"/>
      <c r="E146" s="11" t="s">
        <v>310</v>
      </c>
      <c r="F146" s="18">
        <v>1</v>
      </c>
      <c r="G146" s="18">
        <v>8</v>
      </c>
      <c r="H146" s="18">
        <v>12</v>
      </c>
      <c r="I146" s="28">
        <v>12</v>
      </c>
      <c r="J146" s="20"/>
      <c r="K146" s="18">
        <v>10</v>
      </c>
      <c r="L146" s="14" t="s">
        <v>311</v>
      </c>
    </row>
    <row r="147" spans="1:12" ht="153" x14ac:dyDescent="0.2">
      <c r="A147" s="56"/>
      <c r="B147" s="68"/>
      <c r="C147" s="56"/>
      <c r="D147" s="65"/>
      <c r="E147" s="11" t="s">
        <v>312</v>
      </c>
      <c r="F147" s="13">
        <v>1042</v>
      </c>
      <c r="G147" s="13">
        <v>3537</v>
      </c>
      <c r="H147" s="13">
        <v>6935</v>
      </c>
      <c r="I147" s="25">
        <v>9756</v>
      </c>
      <c r="J147" s="13"/>
      <c r="K147" s="13">
        <v>10420</v>
      </c>
      <c r="L147" s="14" t="s">
        <v>308</v>
      </c>
    </row>
    <row r="148" spans="1:12" ht="153" x14ac:dyDescent="0.2">
      <c r="A148" s="56"/>
      <c r="B148" s="68"/>
      <c r="C148" s="56"/>
      <c r="D148" s="65"/>
      <c r="E148" s="11" t="s">
        <v>313</v>
      </c>
      <c r="F148" s="13">
        <v>3995</v>
      </c>
      <c r="G148" s="13">
        <v>10361</v>
      </c>
      <c r="H148" s="13">
        <v>33448</v>
      </c>
      <c r="I148" s="25">
        <v>52478</v>
      </c>
      <c r="J148" s="13"/>
      <c r="K148" s="13">
        <v>39950</v>
      </c>
      <c r="L148" s="14" t="s">
        <v>308</v>
      </c>
    </row>
    <row r="149" spans="1:12" ht="89.25" x14ac:dyDescent="0.2">
      <c r="A149" s="56"/>
      <c r="B149" s="68"/>
      <c r="C149" s="56"/>
      <c r="D149" s="65"/>
      <c r="E149" s="11" t="s">
        <v>314</v>
      </c>
      <c r="F149" s="12" t="s">
        <v>12</v>
      </c>
      <c r="G149" s="18">
        <v>1</v>
      </c>
      <c r="H149" s="18">
        <v>1</v>
      </c>
      <c r="I149" s="28">
        <v>1</v>
      </c>
      <c r="J149" s="20"/>
      <c r="K149" s="18">
        <v>2</v>
      </c>
      <c r="L149" s="14" t="s">
        <v>292</v>
      </c>
    </row>
    <row r="150" spans="1:12" ht="76.5" x14ac:dyDescent="0.2">
      <c r="A150" s="56"/>
      <c r="B150" s="68"/>
      <c r="C150" s="56"/>
      <c r="D150" s="65"/>
      <c r="E150" s="11" t="s">
        <v>315</v>
      </c>
      <c r="F150" s="12" t="s">
        <v>12</v>
      </c>
      <c r="G150" s="18">
        <v>349</v>
      </c>
      <c r="H150" s="18">
        <v>392</v>
      </c>
      <c r="I150" s="28">
        <v>424</v>
      </c>
      <c r="J150" s="20"/>
      <c r="K150" s="18">
        <v>511</v>
      </c>
      <c r="L150" s="14" t="s">
        <v>308</v>
      </c>
    </row>
    <row r="151" spans="1:12" ht="76.5" x14ac:dyDescent="0.2">
      <c r="A151" s="56"/>
      <c r="B151" s="68"/>
      <c r="C151" s="58"/>
      <c r="D151" s="66"/>
      <c r="E151" s="11" t="s">
        <v>316</v>
      </c>
      <c r="F151" s="12" t="s">
        <v>12</v>
      </c>
      <c r="G151" s="12" t="s">
        <v>317</v>
      </c>
      <c r="H151" s="12" t="s">
        <v>317</v>
      </c>
      <c r="I151" s="24" t="s">
        <v>317</v>
      </c>
      <c r="J151" s="20"/>
      <c r="K151" s="18">
        <v>44</v>
      </c>
      <c r="L151" s="14" t="s">
        <v>318</v>
      </c>
    </row>
    <row r="152" spans="1:12" ht="51" x14ac:dyDescent="0.2">
      <c r="A152" s="56"/>
      <c r="B152" s="68"/>
      <c r="C152" s="51" t="s">
        <v>319</v>
      </c>
      <c r="D152" s="51" t="s">
        <v>320</v>
      </c>
      <c r="E152" s="11" t="s">
        <v>321</v>
      </c>
      <c r="F152" s="12" t="s">
        <v>12</v>
      </c>
      <c r="G152" s="12" t="s">
        <v>12</v>
      </c>
      <c r="H152" s="12" t="s">
        <v>12</v>
      </c>
      <c r="I152" s="28">
        <v>0</v>
      </c>
      <c r="J152" s="20"/>
      <c r="K152" s="18">
        <v>1</v>
      </c>
      <c r="L152" s="14" t="s">
        <v>292</v>
      </c>
    </row>
    <row r="153" spans="1:12" x14ac:dyDescent="0.2">
      <c r="A153" s="56"/>
      <c r="B153" s="68"/>
      <c r="C153" s="52"/>
      <c r="D153" s="52"/>
      <c r="E153" s="11" t="s">
        <v>322</v>
      </c>
      <c r="F153" s="16">
        <v>0.12</v>
      </c>
      <c r="G153" s="15">
        <f>60/477</f>
        <v>0.12578616352201258</v>
      </c>
      <c r="H153" s="15">
        <f>47/430</f>
        <v>0.10930232558139535</v>
      </c>
      <c r="I153" s="26">
        <v>0.104</v>
      </c>
      <c r="J153" s="15"/>
      <c r="K153" s="16">
        <v>0.09</v>
      </c>
      <c r="L153" s="14" t="s">
        <v>308</v>
      </c>
    </row>
    <row r="154" spans="1:12" ht="25.5" x14ac:dyDescent="0.2">
      <c r="A154" s="56"/>
      <c r="B154" s="68"/>
      <c r="C154" s="52"/>
      <c r="D154" s="52"/>
      <c r="E154" s="11" t="s">
        <v>323</v>
      </c>
      <c r="F154" s="18">
        <v>11</v>
      </c>
      <c r="G154" s="18">
        <v>15</v>
      </c>
      <c r="H154" s="18">
        <v>21</v>
      </c>
      <c r="I154" s="24" t="s">
        <v>533</v>
      </c>
      <c r="J154" s="20"/>
      <c r="K154" s="18">
        <v>25</v>
      </c>
      <c r="L154" s="14" t="s">
        <v>324</v>
      </c>
    </row>
    <row r="155" spans="1:12" ht="38.25" x14ac:dyDescent="0.2">
      <c r="A155" s="56"/>
      <c r="B155" s="68"/>
      <c r="C155" s="11" t="s">
        <v>325</v>
      </c>
      <c r="D155" s="11" t="s">
        <v>326</v>
      </c>
      <c r="E155" s="11" t="s">
        <v>327</v>
      </c>
      <c r="F155" s="12" t="s">
        <v>12</v>
      </c>
      <c r="G155" s="12" t="s">
        <v>12</v>
      </c>
      <c r="H155" s="12" t="s">
        <v>12</v>
      </c>
      <c r="I155" s="28">
        <v>0</v>
      </c>
      <c r="J155" s="20"/>
      <c r="K155" s="18">
        <v>290</v>
      </c>
      <c r="L155" s="14" t="s">
        <v>328</v>
      </c>
    </row>
    <row r="156" spans="1:12" ht="38.25" x14ac:dyDescent="0.2">
      <c r="A156" s="56"/>
      <c r="B156" s="68"/>
      <c r="C156" s="51" t="s">
        <v>329</v>
      </c>
      <c r="D156" s="51" t="s">
        <v>330</v>
      </c>
      <c r="E156" s="11" t="s">
        <v>331</v>
      </c>
      <c r="F156" s="12" t="s">
        <v>12</v>
      </c>
      <c r="G156" s="12" t="s">
        <v>12</v>
      </c>
      <c r="H156" s="12" t="s">
        <v>12</v>
      </c>
      <c r="I156" s="28">
        <v>0</v>
      </c>
      <c r="J156" s="20"/>
      <c r="K156" s="18">
        <v>100</v>
      </c>
      <c r="L156" s="14" t="s">
        <v>332</v>
      </c>
    </row>
    <row r="157" spans="1:12" ht="38.25" x14ac:dyDescent="0.2">
      <c r="A157" s="56"/>
      <c r="B157" s="68"/>
      <c r="C157" s="52"/>
      <c r="D157" s="52"/>
      <c r="E157" s="11" t="s">
        <v>333</v>
      </c>
      <c r="F157" s="12" t="s">
        <v>12</v>
      </c>
      <c r="G157" s="12" t="s">
        <v>12</v>
      </c>
      <c r="H157" s="12" t="s">
        <v>12</v>
      </c>
      <c r="I157" s="28">
        <v>0</v>
      </c>
      <c r="J157" s="20"/>
      <c r="K157" s="13">
        <v>10000</v>
      </c>
      <c r="L157" s="14" t="s">
        <v>334</v>
      </c>
    </row>
    <row r="158" spans="1:12" ht="38.25" x14ac:dyDescent="0.2">
      <c r="A158" s="56"/>
      <c r="B158" s="68"/>
      <c r="C158" s="52"/>
      <c r="D158" s="52"/>
      <c r="E158" s="11" t="s">
        <v>335</v>
      </c>
      <c r="F158" s="16">
        <v>1</v>
      </c>
      <c r="G158" s="16">
        <v>1</v>
      </c>
      <c r="H158" s="16">
        <v>1</v>
      </c>
      <c r="I158" s="30">
        <v>1</v>
      </c>
      <c r="J158" s="16"/>
      <c r="K158" s="16">
        <v>0.3</v>
      </c>
      <c r="L158" s="14" t="s">
        <v>336</v>
      </c>
    </row>
    <row r="159" spans="1:12" ht="25.5" x14ac:dyDescent="0.2">
      <c r="A159" s="56"/>
      <c r="B159" s="68"/>
      <c r="C159" s="51" t="s">
        <v>337</v>
      </c>
      <c r="D159" s="51" t="s">
        <v>338</v>
      </c>
      <c r="E159" s="11" t="s">
        <v>339</v>
      </c>
      <c r="F159" s="12" t="s">
        <v>12</v>
      </c>
      <c r="G159" s="12" t="s">
        <v>12</v>
      </c>
      <c r="H159" s="12" t="s">
        <v>12</v>
      </c>
      <c r="I159" s="28">
        <v>0</v>
      </c>
      <c r="J159" s="20"/>
      <c r="K159" s="18">
        <v>50</v>
      </c>
      <c r="L159" s="14" t="s">
        <v>340</v>
      </c>
    </row>
    <row r="160" spans="1:12" ht="25.5" x14ac:dyDescent="0.2">
      <c r="A160" s="56"/>
      <c r="B160" s="68"/>
      <c r="C160" s="52"/>
      <c r="D160" s="52"/>
      <c r="E160" s="11" t="s">
        <v>341</v>
      </c>
      <c r="F160" s="12" t="s">
        <v>12</v>
      </c>
      <c r="G160" s="12" t="s">
        <v>12</v>
      </c>
      <c r="H160" s="12" t="s">
        <v>12</v>
      </c>
      <c r="I160" s="28">
        <v>0</v>
      </c>
      <c r="J160" s="20"/>
      <c r="K160" s="18">
        <v>250</v>
      </c>
      <c r="L160" s="14" t="s">
        <v>342</v>
      </c>
    </row>
    <row r="161" spans="1:12" ht="38.25" x14ac:dyDescent="0.2">
      <c r="A161" s="71"/>
      <c r="B161" s="68"/>
      <c r="C161" s="62" t="s">
        <v>343</v>
      </c>
      <c r="D161" s="51" t="s">
        <v>344</v>
      </c>
      <c r="E161" s="11" t="s">
        <v>345</v>
      </c>
      <c r="F161" s="12" t="s">
        <v>12</v>
      </c>
      <c r="G161" s="12" t="s">
        <v>12</v>
      </c>
      <c r="H161" s="12" t="s">
        <v>12</v>
      </c>
      <c r="I161" s="28">
        <v>0</v>
      </c>
      <c r="J161" s="20"/>
      <c r="K161" s="18">
        <v>40</v>
      </c>
      <c r="L161" s="14" t="s">
        <v>332</v>
      </c>
    </row>
    <row r="162" spans="1:12" ht="38.25" x14ac:dyDescent="0.2">
      <c r="A162" s="71"/>
      <c r="B162" s="68"/>
      <c r="C162" s="63"/>
      <c r="D162" s="52"/>
      <c r="E162" s="11" t="s">
        <v>346</v>
      </c>
      <c r="F162" s="12" t="s">
        <v>12</v>
      </c>
      <c r="G162" s="12" t="s">
        <v>12</v>
      </c>
      <c r="H162" s="12" t="s">
        <v>12</v>
      </c>
      <c r="I162" s="28">
        <v>0</v>
      </c>
      <c r="J162" s="20"/>
      <c r="K162" s="13">
        <f>40*365</f>
        <v>14600</v>
      </c>
      <c r="L162" s="14" t="s">
        <v>334</v>
      </c>
    </row>
    <row r="163" spans="1:12" ht="38.25" x14ac:dyDescent="0.2">
      <c r="A163" s="71"/>
      <c r="B163" s="68"/>
      <c r="C163" s="62" t="s">
        <v>347</v>
      </c>
      <c r="D163" s="51" t="s">
        <v>348</v>
      </c>
      <c r="E163" s="11" t="s">
        <v>349</v>
      </c>
      <c r="F163" s="18">
        <v>7</v>
      </c>
      <c r="G163" s="18">
        <v>11</v>
      </c>
      <c r="H163" s="18">
        <v>13</v>
      </c>
      <c r="I163" s="28">
        <v>14</v>
      </c>
      <c r="J163" s="20"/>
      <c r="K163" s="18">
        <v>30</v>
      </c>
      <c r="L163" s="14" t="s">
        <v>350</v>
      </c>
    </row>
    <row r="164" spans="1:12" ht="38.25" x14ac:dyDescent="0.2">
      <c r="A164" s="71"/>
      <c r="B164" s="68"/>
      <c r="C164" s="63"/>
      <c r="D164" s="52"/>
      <c r="E164" s="11" t="s">
        <v>351</v>
      </c>
      <c r="F164" s="18">
        <v>81</v>
      </c>
      <c r="G164" s="18">
        <v>117</v>
      </c>
      <c r="H164" s="18">
        <v>110</v>
      </c>
      <c r="I164" s="28">
        <v>112</v>
      </c>
      <c r="J164" s="20"/>
      <c r="K164" s="18">
        <v>85</v>
      </c>
      <c r="L164" s="14" t="s">
        <v>350</v>
      </c>
    </row>
    <row r="165" spans="1:12" ht="38.25" x14ac:dyDescent="0.2">
      <c r="A165" s="58"/>
      <c r="B165" s="69"/>
      <c r="C165" s="52"/>
      <c r="D165" s="52"/>
      <c r="E165" s="11" t="s">
        <v>352</v>
      </c>
      <c r="F165" s="18">
        <v>117</v>
      </c>
      <c r="G165" s="18">
        <v>181</v>
      </c>
      <c r="H165" s="18">
        <v>181</v>
      </c>
      <c r="I165" s="28">
        <v>114</v>
      </c>
      <c r="J165" s="20"/>
      <c r="K165" s="18">
        <v>125</v>
      </c>
      <c r="L165" s="14" t="s">
        <v>350</v>
      </c>
    </row>
    <row r="166" spans="1:12" ht="63.75" x14ac:dyDescent="0.2">
      <c r="A166" s="53" t="s">
        <v>353</v>
      </c>
      <c r="B166" s="67" t="s">
        <v>354</v>
      </c>
      <c r="C166" s="53" t="s">
        <v>355</v>
      </c>
      <c r="D166" s="53" t="s">
        <v>356</v>
      </c>
      <c r="E166" s="11" t="s">
        <v>357</v>
      </c>
      <c r="F166" s="18">
        <v>43.3</v>
      </c>
      <c r="G166" s="18">
        <v>32.6</v>
      </c>
      <c r="H166" s="18">
        <v>42.8</v>
      </c>
      <c r="I166" s="28">
        <v>55.1</v>
      </c>
      <c r="J166" s="20"/>
      <c r="K166" s="18">
        <v>36.799999999999997</v>
      </c>
      <c r="L166" s="14" t="s">
        <v>358</v>
      </c>
    </row>
    <row r="167" spans="1:12" ht="63.75" x14ac:dyDescent="0.2">
      <c r="A167" s="56"/>
      <c r="B167" s="68"/>
      <c r="C167" s="56"/>
      <c r="D167" s="56"/>
      <c r="E167" s="11" t="s">
        <v>359</v>
      </c>
      <c r="F167" s="18">
        <v>211.7</v>
      </c>
      <c r="G167" s="18">
        <v>258.5</v>
      </c>
      <c r="H167" s="18">
        <v>261.39999999999998</v>
      </c>
      <c r="I167" s="28">
        <v>239.2</v>
      </c>
      <c r="J167" s="20"/>
      <c r="K167" s="18">
        <v>179.9</v>
      </c>
      <c r="L167" s="14" t="s">
        <v>358</v>
      </c>
    </row>
    <row r="168" spans="1:12" ht="76.5" x14ac:dyDescent="0.2">
      <c r="A168" s="56"/>
      <c r="B168" s="68"/>
      <c r="C168" s="56"/>
      <c r="D168" s="56"/>
      <c r="E168" s="11" t="s">
        <v>360</v>
      </c>
      <c r="F168" s="18">
        <v>448</v>
      </c>
      <c r="G168" s="18">
        <v>549</v>
      </c>
      <c r="H168" s="18">
        <v>504</v>
      </c>
      <c r="I168" s="28">
        <v>527</v>
      </c>
      <c r="J168" s="20"/>
      <c r="K168" s="18">
        <v>548</v>
      </c>
      <c r="L168" s="14" t="s">
        <v>361</v>
      </c>
    </row>
    <row r="169" spans="1:12" ht="38.25" x14ac:dyDescent="0.2">
      <c r="A169" s="56"/>
      <c r="B169" s="68"/>
      <c r="C169" s="56"/>
      <c r="D169" s="56"/>
      <c r="E169" s="11" t="s">
        <v>362</v>
      </c>
      <c r="F169" s="18">
        <v>22.4</v>
      </c>
      <c r="G169" s="18">
        <v>10.5</v>
      </c>
      <c r="H169" s="18">
        <v>9.4</v>
      </c>
      <c r="I169" s="28">
        <v>16.899999999999999</v>
      </c>
      <c r="J169" s="20"/>
      <c r="K169" s="18">
        <v>19</v>
      </c>
      <c r="L169" s="14" t="s">
        <v>363</v>
      </c>
    </row>
    <row r="170" spans="1:12" ht="38.25" x14ac:dyDescent="0.2">
      <c r="A170" s="56"/>
      <c r="B170" s="68"/>
      <c r="C170" s="56"/>
      <c r="D170" s="56"/>
      <c r="E170" s="11" t="s">
        <v>364</v>
      </c>
      <c r="F170" s="18">
        <v>49.7</v>
      </c>
      <c r="G170" s="18">
        <v>66.5</v>
      </c>
      <c r="H170" s="18">
        <v>73</v>
      </c>
      <c r="I170" s="28">
        <v>95</v>
      </c>
      <c r="J170" s="20"/>
      <c r="K170" s="18">
        <v>42.2</v>
      </c>
      <c r="L170" s="14" t="s">
        <v>363</v>
      </c>
    </row>
    <row r="171" spans="1:12" ht="38.25" x14ac:dyDescent="0.2">
      <c r="A171" s="56"/>
      <c r="B171" s="68"/>
      <c r="C171" s="56"/>
      <c r="D171" s="56"/>
      <c r="E171" s="11" t="s">
        <v>365</v>
      </c>
      <c r="F171" s="18">
        <v>200</v>
      </c>
      <c r="G171" s="18">
        <v>217</v>
      </c>
      <c r="H171" s="18">
        <v>256</v>
      </c>
      <c r="I171" s="28">
        <v>213</v>
      </c>
      <c r="J171" s="20"/>
      <c r="K171" s="18">
        <v>239</v>
      </c>
      <c r="L171" s="14" t="s">
        <v>332</v>
      </c>
    </row>
    <row r="172" spans="1:12" ht="51" x14ac:dyDescent="0.2">
      <c r="A172" s="56"/>
      <c r="B172" s="68"/>
      <c r="C172" s="56"/>
      <c r="D172" s="56"/>
      <c r="E172" s="11" t="s">
        <v>366</v>
      </c>
      <c r="F172" s="18">
        <v>733</v>
      </c>
      <c r="G172" s="18">
        <v>339</v>
      </c>
      <c r="H172" s="18">
        <v>285</v>
      </c>
      <c r="I172" s="28">
        <v>270</v>
      </c>
      <c r="J172" s="20"/>
      <c r="K172" s="18">
        <v>623.1</v>
      </c>
      <c r="L172" s="14" t="s">
        <v>363</v>
      </c>
    </row>
    <row r="173" spans="1:12" ht="51" x14ac:dyDescent="0.2">
      <c r="A173" s="56"/>
      <c r="B173" s="68"/>
      <c r="C173" s="56"/>
      <c r="D173" s="56"/>
      <c r="E173" s="11" t="s">
        <v>367</v>
      </c>
      <c r="F173" s="18">
        <v>984</v>
      </c>
      <c r="G173" s="18">
        <v>575</v>
      </c>
      <c r="H173" s="18">
        <v>529</v>
      </c>
      <c r="I173" s="28">
        <v>394</v>
      </c>
      <c r="J173" s="20"/>
      <c r="K173" s="18">
        <v>836.4</v>
      </c>
      <c r="L173" s="14" t="s">
        <v>363</v>
      </c>
    </row>
    <row r="174" spans="1:12" ht="38.25" x14ac:dyDescent="0.2">
      <c r="A174" s="56"/>
      <c r="B174" s="68"/>
      <c r="C174" s="58"/>
      <c r="D174" s="58"/>
      <c r="E174" s="11" t="s">
        <v>368</v>
      </c>
      <c r="F174" s="18">
        <v>28</v>
      </c>
      <c r="G174" s="18">
        <v>60</v>
      </c>
      <c r="H174" s="18">
        <v>61</v>
      </c>
      <c r="I174" s="28">
        <v>61</v>
      </c>
      <c r="J174" s="20"/>
      <c r="K174" s="18">
        <v>33</v>
      </c>
      <c r="L174" s="14" t="s">
        <v>332</v>
      </c>
    </row>
    <row r="175" spans="1:12" ht="63.75" x14ac:dyDescent="0.2">
      <c r="A175" s="56"/>
      <c r="B175" s="68"/>
      <c r="C175" s="11" t="s">
        <v>369</v>
      </c>
      <c r="D175" s="11" t="s">
        <v>370</v>
      </c>
      <c r="E175" s="11" t="s">
        <v>371</v>
      </c>
      <c r="F175" s="18">
        <v>931</v>
      </c>
      <c r="G175" s="13">
        <v>1043</v>
      </c>
      <c r="H175" s="13">
        <v>1229</v>
      </c>
      <c r="I175" s="25">
        <v>1248</v>
      </c>
      <c r="J175" s="13"/>
      <c r="K175" s="13">
        <v>1164</v>
      </c>
      <c r="L175" s="14" t="s">
        <v>372</v>
      </c>
    </row>
    <row r="176" spans="1:12" ht="51" x14ac:dyDescent="0.2">
      <c r="A176" s="56"/>
      <c r="B176" s="68"/>
      <c r="C176" s="51" t="s">
        <v>373</v>
      </c>
      <c r="D176" s="51" t="s">
        <v>374</v>
      </c>
      <c r="E176" s="11" t="s">
        <v>375</v>
      </c>
      <c r="F176" s="18">
        <v>22</v>
      </c>
      <c r="G176" s="18">
        <v>18</v>
      </c>
      <c r="H176" s="18">
        <v>18</v>
      </c>
      <c r="I176" s="28">
        <v>19</v>
      </c>
      <c r="J176" s="20"/>
      <c r="K176" s="18">
        <v>25</v>
      </c>
      <c r="L176" s="14" t="s">
        <v>376</v>
      </c>
    </row>
    <row r="177" spans="1:12" ht="25.5" x14ac:dyDescent="0.2">
      <c r="A177" s="56"/>
      <c r="B177" s="68"/>
      <c r="C177" s="52"/>
      <c r="D177" s="52"/>
      <c r="E177" s="11" t="s">
        <v>377</v>
      </c>
      <c r="F177" s="18">
        <v>41</v>
      </c>
      <c r="G177" s="18">
        <v>40</v>
      </c>
      <c r="H177" s="18">
        <v>39</v>
      </c>
      <c r="I177" s="28">
        <v>41</v>
      </c>
      <c r="J177" s="20"/>
      <c r="K177" s="18">
        <v>44</v>
      </c>
      <c r="L177" s="14" t="s">
        <v>378</v>
      </c>
    </row>
    <row r="178" spans="1:12" ht="25.5" x14ac:dyDescent="0.2">
      <c r="A178" s="56"/>
      <c r="B178" s="68"/>
      <c r="C178" s="51" t="s">
        <v>379</v>
      </c>
      <c r="D178" s="51" t="s">
        <v>380</v>
      </c>
      <c r="E178" s="11" t="s">
        <v>381</v>
      </c>
      <c r="F178" s="13">
        <v>2253</v>
      </c>
      <c r="G178" s="13">
        <v>1974</v>
      </c>
      <c r="H178" s="13">
        <v>335</v>
      </c>
      <c r="I178" s="25">
        <v>142</v>
      </c>
      <c r="J178" s="13"/>
      <c r="K178" s="13">
        <v>3000</v>
      </c>
      <c r="L178" s="14" t="s">
        <v>358</v>
      </c>
    </row>
    <row r="179" spans="1:12" ht="38.25" x14ac:dyDescent="0.2">
      <c r="A179" s="56"/>
      <c r="B179" s="68"/>
      <c r="C179" s="52"/>
      <c r="D179" s="52"/>
      <c r="E179" s="11" t="s">
        <v>382</v>
      </c>
      <c r="F179" s="18">
        <v>733</v>
      </c>
      <c r="G179" s="18">
        <v>339</v>
      </c>
      <c r="H179" s="18">
        <v>285</v>
      </c>
      <c r="I179" s="28">
        <v>270</v>
      </c>
      <c r="J179" s="20"/>
      <c r="K179" s="18">
        <v>623.1</v>
      </c>
      <c r="L179" s="14" t="s">
        <v>383</v>
      </c>
    </row>
    <row r="180" spans="1:12" ht="38.25" x14ac:dyDescent="0.2">
      <c r="A180" s="58"/>
      <c r="B180" s="69"/>
      <c r="C180" s="52"/>
      <c r="D180" s="52"/>
      <c r="E180" s="11" t="s">
        <v>384</v>
      </c>
      <c r="F180" s="18">
        <v>984</v>
      </c>
      <c r="G180" s="18">
        <v>575</v>
      </c>
      <c r="H180" s="18">
        <v>529</v>
      </c>
      <c r="I180" s="28">
        <v>394</v>
      </c>
      <c r="J180" s="20"/>
      <c r="K180" s="18">
        <v>836.4</v>
      </c>
      <c r="L180" s="14" t="s">
        <v>383</v>
      </c>
    </row>
    <row r="181" spans="1:12" ht="89.25" x14ac:dyDescent="0.2">
      <c r="A181" s="53" t="s">
        <v>385</v>
      </c>
      <c r="B181" s="60" t="s">
        <v>386</v>
      </c>
      <c r="C181" s="51" t="s">
        <v>387</v>
      </c>
      <c r="D181" s="51" t="s">
        <v>388</v>
      </c>
      <c r="E181" s="11" t="s">
        <v>389</v>
      </c>
      <c r="F181" s="13">
        <v>2145</v>
      </c>
      <c r="G181" s="13">
        <v>2218</v>
      </c>
      <c r="H181" s="13">
        <v>2367</v>
      </c>
      <c r="I181" s="28">
        <v>2493</v>
      </c>
      <c r="J181" s="20"/>
      <c r="K181" s="13">
        <v>2327</v>
      </c>
      <c r="L181" s="14" t="s">
        <v>390</v>
      </c>
    </row>
    <row r="182" spans="1:12" ht="38.25" x14ac:dyDescent="0.2">
      <c r="A182" s="56"/>
      <c r="B182" s="61"/>
      <c r="C182" s="52"/>
      <c r="D182" s="52"/>
      <c r="E182" s="11" t="s">
        <v>391</v>
      </c>
      <c r="F182" s="13">
        <v>43.91</v>
      </c>
      <c r="G182" s="13">
        <v>66.7</v>
      </c>
      <c r="H182" s="13">
        <v>101.83</v>
      </c>
      <c r="I182" s="25">
        <v>79</v>
      </c>
      <c r="J182" s="13"/>
      <c r="K182" s="13">
        <v>40.475698324022297</v>
      </c>
      <c r="L182" s="14" t="s">
        <v>392</v>
      </c>
    </row>
    <row r="183" spans="1:12" ht="38.25" x14ac:dyDescent="0.2">
      <c r="A183" s="56"/>
      <c r="B183" s="61"/>
      <c r="C183" s="52"/>
      <c r="D183" s="52"/>
      <c r="E183" s="11" t="s">
        <v>393</v>
      </c>
      <c r="F183" s="13">
        <v>16.399999999999999</v>
      </c>
      <c r="G183" s="13">
        <v>21.96</v>
      </c>
      <c r="H183" s="13">
        <v>37.950000000000003</v>
      </c>
      <c r="I183" s="25">
        <v>20</v>
      </c>
      <c r="J183" s="13"/>
      <c r="K183" s="13">
        <v>15.1173184357542</v>
      </c>
      <c r="L183" s="14" t="s">
        <v>392</v>
      </c>
    </row>
    <row r="184" spans="1:12" ht="89.25" x14ac:dyDescent="0.2">
      <c r="A184" s="56"/>
      <c r="B184" s="61"/>
      <c r="C184" s="11" t="s">
        <v>394</v>
      </c>
      <c r="D184" s="11" t="s">
        <v>395</v>
      </c>
      <c r="E184" s="11" t="s">
        <v>396</v>
      </c>
      <c r="F184" s="18">
        <v>26</v>
      </c>
      <c r="G184" s="21">
        <f>175314/12.284/365</f>
        <v>39.100645454829312</v>
      </c>
      <c r="H184" s="21">
        <f>168996/14.66/365</f>
        <v>31.582724401502553</v>
      </c>
      <c r="I184" s="31">
        <v>30</v>
      </c>
      <c r="J184" s="21"/>
      <c r="K184" s="18">
        <v>40</v>
      </c>
      <c r="L184" s="14" t="s">
        <v>397</v>
      </c>
    </row>
    <row r="185" spans="1:12" ht="51" x14ac:dyDescent="0.2">
      <c r="A185" s="56"/>
      <c r="B185" s="61"/>
      <c r="C185" s="51" t="s">
        <v>398</v>
      </c>
      <c r="D185" s="51" t="s">
        <v>399</v>
      </c>
      <c r="E185" s="11" t="s">
        <v>400</v>
      </c>
      <c r="F185" s="13">
        <v>1583</v>
      </c>
      <c r="G185" s="13">
        <v>1673</v>
      </c>
      <c r="H185" s="13">
        <v>1653</v>
      </c>
      <c r="I185" s="25">
        <v>1662</v>
      </c>
      <c r="J185" s="13"/>
      <c r="K185" s="13">
        <f>ROUND(F185+(F185*0.3),0)</f>
        <v>2058</v>
      </c>
      <c r="L185" s="14" t="s">
        <v>401</v>
      </c>
    </row>
    <row r="186" spans="1:12" ht="51" x14ac:dyDescent="0.2">
      <c r="A186" s="56"/>
      <c r="B186" s="61"/>
      <c r="C186" s="52"/>
      <c r="D186" s="52"/>
      <c r="E186" s="11" t="s">
        <v>402</v>
      </c>
      <c r="F186" s="13">
        <v>1611</v>
      </c>
      <c r="G186" s="13">
        <v>1675</v>
      </c>
      <c r="H186" s="13">
        <v>1615</v>
      </c>
      <c r="I186" s="25">
        <v>1765</v>
      </c>
      <c r="J186" s="13"/>
      <c r="K186" s="13">
        <f>ROUND(F186+(F186*0.3),0)</f>
        <v>2094</v>
      </c>
      <c r="L186" s="14" t="s">
        <v>401</v>
      </c>
    </row>
    <row r="187" spans="1:12" ht="51" x14ac:dyDescent="0.2">
      <c r="A187" s="56"/>
      <c r="B187" s="61"/>
      <c r="C187" s="52"/>
      <c r="D187" s="52"/>
      <c r="E187" s="11" t="s">
        <v>403</v>
      </c>
      <c r="F187" s="13">
        <v>2109</v>
      </c>
      <c r="G187" s="13">
        <v>2267</v>
      </c>
      <c r="H187" s="13">
        <v>2012</v>
      </c>
      <c r="I187" s="25">
        <v>2046</v>
      </c>
      <c r="J187" s="13"/>
      <c r="K187" s="13">
        <f>ROUND(F187+(F187*0.3),0)</f>
        <v>2742</v>
      </c>
      <c r="L187" s="14" t="s">
        <v>401</v>
      </c>
    </row>
    <row r="188" spans="1:12" ht="63.75" x14ac:dyDescent="0.2">
      <c r="A188" s="56"/>
      <c r="B188" s="61"/>
      <c r="C188" s="52"/>
      <c r="D188" s="52"/>
      <c r="E188" s="11" t="s">
        <v>404</v>
      </c>
      <c r="F188" s="13">
        <v>2150</v>
      </c>
      <c r="G188" s="13">
        <v>2122</v>
      </c>
      <c r="H188" s="13">
        <v>2058</v>
      </c>
      <c r="I188" s="25">
        <v>2021</v>
      </c>
      <c r="J188" s="13"/>
      <c r="K188" s="13">
        <f>ROUND(F188+(F188*0.2),0)</f>
        <v>2580</v>
      </c>
      <c r="L188" s="14" t="s">
        <v>401</v>
      </c>
    </row>
    <row r="189" spans="1:12" ht="51" x14ac:dyDescent="0.2">
      <c r="A189" s="56"/>
      <c r="B189" s="61"/>
      <c r="C189" s="52"/>
      <c r="D189" s="52"/>
      <c r="E189" s="11" t="s">
        <v>405</v>
      </c>
      <c r="F189" s="13">
        <v>2150</v>
      </c>
      <c r="G189" s="13">
        <v>2172</v>
      </c>
      <c r="H189" s="13">
        <v>2064</v>
      </c>
      <c r="I189" s="25">
        <v>1958</v>
      </c>
      <c r="J189" s="13"/>
      <c r="K189" s="13">
        <f>ROUND(F189+(F189*0.2),0)</f>
        <v>2580</v>
      </c>
      <c r="L189" s="14" t="s">
        <v>401</v>
      </c>
    </row>
    <row r="190" spans="1:12" ht="51" x14ac:dyDescent="0.2">
      <c r="A190" s="58"/>
      <c r="B190" s="61"/>
      <c r="C190" s="52"/>
      <c r="D190" s="52"/>
      <c r="E190" s="11" t="s">
        <v>406</v>
      </c>
      <c r="F190" s="13">
        <v>2229</v>
      </c>
      <c r="G190" s="13">
        <v>2242</v>
      </c>
      <c r="H190" s="13">
        <v>2013</v>
      </c>
      <c r="I190" s="25">
        <v>2054</v>
      </c>
      <c r="J190" s="13"/>
      <c r="K190" s="13">
        <f>ROUND(F190+(F190*0.2),0)</f>
        <v>2675</v>
      </c>
      <c r="L190" s="14" t="s">
        <v>401</v>
      </c>
    </row>
    <row r="191" spans="1:12" ht="63.75" x14ac:dyDescent="0.2">
      <c r="A191" s="53" t="s">
        <v>407</v>
      </c>
      <c r="B191" s="60" t="s">
        <v>408</v>
      </c>
      <c r="C191" s="11" t="s">
        <v>409</v>
      </c>
      <c r="D191" s="11" t="s">
        <v>410</v>
      </c>
      <c r="E191" s="11" t="s">
        <v>411</v>
      </c>
      <c r="F191" s="18">
        <f>ROUND(565883/6.41/365,0)</f>
        <v>242</v>
      </c>
      <c r="G191" s="18">
        <f>ROUND(644658/(646944.6/101026)/365,0)</f>
        <v>276</v>
      </c>
      <c r="H191" s="18">
        <v>276</v>
      </c>
      <c r="I191" s="28">
        <v>283</v>
      </c>
      <c r="J191" s="20"/>
      <c r="K191" s="18">
        <f>F191+80</f>
        <v>322</v>
      </c>
      <c r="L191" s="14" t="s">
        <v>397</v>
      </c>
    </row>
    <row r="192" spans="1:12" ht="25.5" x14ac:dyDescent="0.2">
      <c r="A192" s="56"/>
      <c r="B192" s="61"/>
      <c r="C192" s="11" t="s">
        <v>412</v>
      </c>
      <c r="D192" s="11" t="s">
        <v>413</v>
      </c>
      <c r="E192" s="11" t="s">
        <v>414</v>
      </c>
      <c r="F192" s="18">
        <v>37</v>
      </c>
      <c r="G192" s="18">
        <v>36</v>
      </c>
      <c r="H192" s="18">
        <v>39</v>
      </c>
      <c r="I192" s="28">
        <v>14</v>
      </c>
      <c r="J192" s="20"/>
      <c r="K192" s="18">
        <v>60</v>
      </c>
      <c r="L192" s="14" t="s">
        <v>415</v>
      </c>
    </row>
    <row r="193" spans="1:12" ht="51" x14ac:dyDescent="0.2">
      <c r="A193" s="56"/>
      <c r="B193" s="61"/>
      <c r="C193" s="51" t="s">
        <v>416</v>
      </c>
      <c r="D193" s="51" t="s">
        <v>417</v>
      </c>
      <c r="E193" s="11" t="s">
        <v>418</v>
      </c>
      <c r="F193" s="12" t="s">
        <v>12</v>
      </c>
      <c r="G193" s="18">
        <v>136</v>
      </c>
      <c r="H193" s="18">
        <v>305</v>
      </c>
      <c r="I193" s="28">
        <v>102</v>
      </c>
      <c r="J193" s="20"/>
      <c r="K193" s="18">
        <v>825</v>
      </c>
      <c r="L193" s="14" t="s">
        <v>401</v>
      </c>
    </row>
    <row r="194" spans="1:12" ht="51" x14ac:dyDescent="0.2">
      <c r="A194" s="56"/>
      <c r="B194" s="61"/>
      <c r="C194" s="52"/>
      <c r="D194" s="52"/>
      <c r="E194" s="11" t="s">
        <v>419</v>
      </c>
      <c r="F194" s="18">
        <v>334</v>
      </c>
      <c r="G194" s="18">
        <v>422</v>
      </c>
      <c r="H194" s="18">
        <v>752</v>
      </c>
      <c r="I194" s="28">
        <v>1478</v>
      </c>
      <c r="J194" s="20"/>
      <c r="K194" s="18">
        <f>ROUND(F194+(F194*1),0)</f>
        <v>668</v>
      </c>
      <c r="L194" s="14" t="s">
        <v>401</v>
      </c>
    </row>
    <row r="195" spans="1:12" ht="51" x14ac:dyDescent="0.2">
      <c r="A195" s="56"/>
      <c r="B195" s="61"/>
      <c r="C195" s="52"/>
      <c r="D195" s="52"/>
      <c r="E195" s="11" t="s">
        <v>420</v>
      </c>
      <c r="F195" s="18">
        <v>398</v>
      </c>
      <c r="G195" s="18">
        <v>517</v>
      </c>
      <c r="H195" s="18">
        <v>593</v>
      </c>
      <c r="I195" s="28">
        <v>632</v>
      </c>
      <c r="J195" s="20"/>
      <c r="K195" s="18">
        <f>ROUND(F195+(F195*1),0)</f>
        <v>796</v>
      </c>
      <c r="L195" s="14" t="s">
        <v>401</v>
      </c>
    </row>
    <row r="196" spans="1:12" ht="51" x14ac:dyDescent="0.2">
      <c r="A196" s="56"/>
      <c r="B196" s="61"/>
      <c r="C196" s="52"/>
      <c r="D196" s="52"/>
      <c r="E196" s="11" t="s">
        <v>421</v>
      </c>
      <c r="F196" s="18">
        <v>472</v>
      </c>
      <c r="G196" s="18">
        <v>456</v>
      </c>
      <c r="H196" s="18">
        <v>487</v>
      </c>
      <c r="I196" s="28">
        <v>474</v>
      </c>
      <c r="J196" s="20"/>
      <c r="K196" s="18">
        <f>ROUND(F196+(F196*0.6),0)</f>
        <v>755</v>
      </c>
      <c r="L196" s="14" t="s">
        <v>401</v>
      </c>
    </row>
    <row r="197" spans="1:12" ht="51" x14ac:dyDescent="0.2">
      <c r="A197" s="56"/>
      <c r="B197" s="61"/>
      <c r="C197" s="52"/>
      <c r="D197" s="52"/>
      <c r="E197" s="11" t="s">
        <v>422</v>
      </c>
      <c r="F197" s="18">
        <v>515</v>
      </c>
      <c r="G197" s="18">
        <v>555</v>
      </c>
      <c r="H197" s="18">
        <v>646</v>
      </c>
      <c r="I197" s="28">
        <v>907</v>
      </c>
      <c r="J197" s="20"/>
      <c r="K197" s="18">
        <f>ROUND(F197+(F197*0.6),0)</f>
        <v>824</v>
      </c>
      <c r="L197" s="14" t="s">
        <v>401</v>
      </c>
    </row>
    <row r="198" spans="1:12" ht="51" x14ac:dyDescent="0.2">
      <c r="A198" s="56"/>
      <c r="B198" s="61"/>
      <c r="C198" s="52"/>
      <c r="D198" s="52"/>
      <c r="E198" s="11" t="s">
        <v>423</v>
      </c>
      <c r="F198" s="18">
        <v>713</v>
      </c>
      <c r="G198" s="18">
        <v>826</v>
      </c>
      <c r="H198" s="18">
        <v>877</v>
      </c>
      <c r="I198" s="28">
        <v>955</v>
      </c>
      <c r="J198" s="20"/>
      <c r="K198" s="18">
        <f>ROUND(F198+(F198*0.6),0)</f>
        <v>1141</v>
      </c>
      <c r="L198" s="14" t="s">
        <v>401</v>
      </c>
    </row>
    <row r="199" spans="1:12" ht="51" x14ac:dyDescent="0.2">
      <c r="A199" s="56"/>
      <c r="B199" s="61"/>
      <c r="C199" s="52"/>
      <c r="D199" s="52"/>
      <c r="E199" s="11" t="s">
        <v>424</v>
      </c>
      <c r="F199" s="18">
        <v>683</v>
      </c>
      <c r="G199" s="18">
        <v>671</v>
      </c>
      <c r="H199" s="18">
        <v>783</v>
      </c>
      <c r="I199" s="28">
        <v>1299</v>
      </c>
      <c r="J199" s="20"/>
      <c r="K199" s="18">
        <f>ROUND(F199+(F199*0.3),0)</f>
        <v>888</v>
      </c>
      <c r="L199" s="14" t="s">
        <v>401</v>
      </c>
    </row>
    <row r="200" spans="1:12" ht="51" x14ac:dyDescent="0.2">
      <c r="A200" s="56"/>
      <c r="B200" s="61"/>
      <c r="C200" s="52"/>
      <c r="D200" s="52"/>
      <c r="E200" s="11" t="s">
        <v>425</v>
      </c>
      <c r="F200" s="18">
        <v>821</v>
      </c>
      <c r="G200" s="18">
        <v>781</v>
      </c>
      <c r="H200" s="18">
        <v>876</v>
      </c>
      <c r="I200" s="28">
        <v>1019</v>
      </c>
      <c r="J200" s="20"/>
      <c r="K200" s="18">
        <f>ROUND(F200+(F200*0.3),0)</f>
        <v>1067</v>
      </c>
      <c r="L200" s="14" t="s">
        <v>401</v>
      </c>
    </row>
    <row r="201" spans="1:12" ht="51" x14ac:dyDescent="0.2">
      <c r="A201" s="58"/>
      <c r="B201" s="61"/>
      <c r="C201" s="52"/>
      <c r="D201" s="52"/>
      <c r="E201" s="11" t="s">
        <v>426</v>
      </c>
      <c r="F201" s="18">
        <v>901</v>
      </c>
      <c r="G201" s="18">
        <v>919</v>
      </c>
      <c r="H201" s="18">
        <v>881</v>
      </c>
      <c r="I201" s="28">
        <v>954</v>
      </c>
      <c r="J201" s="20"/>
      <c r="K201" s="18">
        <f>ROUND(F201+(F201*0.3),0)</f>
        <v>1171</v>
      </c>
      <c r="L201" s="14" t="s">
        <v>401</v>
      </c>
    </row>
    <row r="202" spans="1:12" ht="127.5" x14ac:dyDescent="0.2">
      <c r="A202" s="51" t="s">
        <v>427</v>
      </c>
      <c r="B202" s="60" t="s">
        <v>428</v>
      </c>
      <c r="C202" s="11" t="s">
        <v>429</v>
      </c>
      <c r="D202" s="11" t="s">
        <v>430</v>
      </c>
      <c r="E202" s="11" t="s">
        <v>431</v>
      </c>
      <c r="F202" s="16">
        <v>0.27</v>
      </c>
      <c r="G202" s="16">
        <v>0.22</v>
      </c>
      <c r="H202" s="16">
        <v>0.18</v>
      </c>
      <c r="I202" s="30">
        <v>0.17</v>
      </c>
      <c r="J202" s="20"/>
      <c r="K202" s="16">
        <v>0.15</v>
      </c>
      <c r="L202" s="14" t="s">
        <v>519</v>
      </c>
    </row>
    <row r="203" spans="1:12" ht="38.25" x14ac:dyDescent="0.2">
      <c r="A203" s="52"/>
      <c r="B203" s="61"/>
      <c r="C203" s="51" t="s">
        <v>432</v>
      </c>
      <c r="D203" s="51" t="s">
        <v>433</v>
      </c>
      <c r="E203" s="11" t="s">
        <v>434</v>
      </c>
      <c r="F203" s="13">
        <v>200000</v>
      </c>
      <c r="G203" s="13">
        <v>240057</v>
      </c>
      <c r="H203" s="13">
        <v>263905</v>
      </c>
      <c r="I203" s="25">
        <v>276226</v>
      </c>
      <c r="J203" s="13"/>
      <c r="K203" s="13">
        <v>280000</v>
      </c>
      <c r="L203" s="14" t="s">
        <v>520</v>
      </c>
    </row>
    <row r="204" spans="1:12" ht="25.5" x14ac:dyDescent="0.2">
      <c r="A204" s="52"/>
      <c r="B204" s="61"/>
      <c r="C204" s="52"/>
      <c r="D204" s="52"/>
      <c r="E204" s="11" t="s">
        <v>435</v>
      </c>
      <c r="F204" s="18">
        <v>14</v>
      </c>
      <c r="G204" s="18">
        <v>14</v>
      </c>
      <c r="H204" s="18">
        <v>14</v>
      </c>
      <c r="I204" s="28">
        <v>15</v>
      </c>
      <c r="J204" s="20"/>
      <c r="K204" s="18">
        <v>15</v>
      </c>
      <c r="L204" s="14" t="s">
        <v>436</v>
      </c>
    </row>
    <row r="205" spans="1:12" ht="25.5" x14ac:dyDescent="0.2">
      <c r="A205" s="52"/>
      <c r="B205" s="61"/>
      <c r="C205" s="52"/>
      <c r="D205" s="52"/>
      <c r="E205" s="11" t="s">
        <v>437</v>
      </c>
      <c r="F205" s="12" t="s">
        <v>12</v>
      </c>
      <c r="G205" s="12" t="s">
        <v>12</v>
      </c>
      <c r="H205" s="12" t="s">
        <v>12</v>
      </c>
      <c r="I205" s="28">
        <v>0</v>
      </c>
      <c r="J205" s="20"/>
      <c r="K205" s="18">
        <v>1</v>
      </c>
      <c r="L205" s="14" t="s">
        <v>436</v>
      </c>
    </row>
    <row r="206" spans="1:12" ht="25.5" x14ac:dyDescent="0.2">
      <c r="A206" s="52"/>
      <c r="B206" s="61"/>
      <c r="C206" s="52"/>
      <c r="D206" s="52"/>
      <c r="E206" s="11" t="s">
        <v>438</v>
      </c>
      <c r="F206" s="12" t="s">
        <v>12</v>
      </c>
      <c r="G206" s="12" t="s">
        <v>12</v>
      </c>
      <c r="H206" s="18">
        <v>1</v>
      </c>
      <c r="I206" s="28">
        <v>1</v>
      </c>
      <c r="J206" s="20"/>
      <c r="K206" s="18">
        <v>1</v>
      </c>
      <c r="L206" s="14" t="s">
        <v>439</v>
      </c>
    </row>
    <row r="207" spans="1:12" ht="178.5" x14ac:dyDescent="0.2">
      <c r="A207" s="52"/>
      <c r="B207" s="61"/>
      <c r="C207" s="53" t="s">
        <v>440</v>
      </c>
      <c r="D207" s="64" t="s">
        <v>441</v>
      </c>
      <c r="E207" s="11" t="s">
        <v>442</v>
      </c>
      <c r="F207" s="12" t="s">
        <v>443</v>
      </c>
      <c r="G207" s="12" t="s">
        <v>444</v>
      </c>
      <c r="H207" s="12" t="s">
        <v>445</v>
      </c>
      <c r="I207" s="24" t="s">
        <v>446</v>
      </c>
      <c r="J207" s="20"/>
      <c r="K207" s="12" t="s">
        <v>447</v>
      </c>
      <c r="L207" s="14" t="s">
        <v>448</v>
      </c>
    </row>
    <row r="208" spans="1:12" ht="38.25" x14ac:dyDescent="0.2">
      <c r="A208" s="52"/>
      <c r="B208" s="61"/>
      <c r="C208" s="58"/>
      <c r="D208" s="66"/>
      <c r="E208" s="11" t="s">
        <v>449</v>
      </c>
      <c r="F208" s="18">
        <v>27</v>
      </c>
      <c r="G208" s="18">
        <v>22</v>
      </c>
      <c r="H208" s="18">
        <v>18</v>
      </c>
      <c r="I208" s="28">
        <v>17</v>
      </c>
      <c r="J208" s="20"/>
      <c r="K208" s="18">
        <v>15</v>
      </c>
      <c r="L208" s="14" t="s">
        <v>519</v>
      </c>
    </row>
    <row r="209" spans="1:12" ht="38.25" x14ac:dyDescent="0.2">
      <c r="A209" s="51" t="s">
        <v>450</v>
      </c>
      <c r="B209" s="60" t="s">
        <v>451</v>
      </c>
      <c r="C209" s="53" t="s">
        <v>452</v>
      </c>
      <c r="D209" s="64" t="s">
        <v>453</v>
      </c>
      <c r="E209" s="11" t="s">
        <v>454</v>
      </c>
      <c r="F209" s="17">
        <v>1162.3</v>
      </c>
      <c r="G209" s="17">
        <v>1208</v>
      </c>
      <c r="H209" s="17">
        <v>1240.0999999999999</v>
      </c>
      <c r="I209" s="28">
        <v>1267.2</v>
      </c>
      <c r="J209" s="20"/>
      <c r="K209" s="17">
        <v>1162.3</v>
      </c>
      <c r="L209" s="14" t="s">
        <v>455</v>
      </c>
    </row>
    <row r="210" spans="1:12" ht="25.5" x14ac:dyDescent="0.2">
      <c r="A210" s="52"/>
      <c r="B210" s="61"/>
      <c r="C210" s="56"/>
      <c r="D210" s="65"/>
      <c r="E210" s="11" t="s">
        <v>456</v>
      </c>
      <c r="F210" s="17">
        <v>273.7</v>
      </c>
      <c r="G210" s="17">
        <v>290.89999999999998</v>
      </c>
      <c r="H210" s="18">
        <v>292.89999999999998</v>
      </c>
      <c r="I210" s="28">
        <v>305.8</v>
      </c>
      <c r="J210" s="20"/>
      <c r="K210" s="17">
        <v>338.5</v>
      </c>
      <c r="L210" s="14" t="s">
        <v>525</v>
      </c>
    </row>
    <row r="211" spans="1:12" ht="25.5" x14ac:dyDescent="0.2">
      <c r="A211" s="52"/>
      <c r="B211" s="61"/>
      <c r="C211" s="56"/>
      <c r="D211" s="65"/>
      <c r="E211" s="11" t="s">
        <v>457</v>
      </c>
      <c r="F211" s="17">
        <v>76.900000000000006</v>
      </c>
      <c r="G211" s="17">
        <v>80.400000000000006</v>
      </c>
      <c r="H211" s="18">
        <v>80.599999999999994</v>
      </c>
      <c r="I211" s="28">
        <v>82.2</v>
      </c>
      <c r="J211" s="20"/>
      <c r="K211" s="17">
        <v>89.4</v>
      </c>
      <c r="L211" s="14" t="s">
        <v>525</v>
      </c>
    </row>
    <row r="212" spans="1:12" ht="25.5" x14ac:dyDescent="0.2">
      <c r="A212" s="52"/>
      <c r="B212" s="61"/>
      <c r="C212" s="56"/>
      <c r="D212" s="65"/>
      <c r="E212" s="11" t="s">
        <v>458</v>
      </c>
      <c r="F212" s="17">
        <v>746.4</v>
      </c>
      <c r="G212" s="17">
        <v>783.2</v>
      </c>
      <c r="H212" s="18">
        <v>713.2</v>
      </c>
      <c r="I212" s="28">
        <v>728.9</v>
      </c>
      <c r="J212" s="20"/>
      <c r="K212" s="17">
        <v>746.4</v>
      </c>
      <c r="L212" s="14" t="s">
        <v>525</v>
      </c>
    </row>
    <row r="213" spans="1:12" ht="25.5" x14ac:dyDescent="0.2">
      <c r="A213" s="52"/>
      <c r="B213" s="61"/>
      <c r="C213" s="58"/>
      <c r="D213" s="66"/>
      <c r="E213" s="11" t="s">
        <v>459</v>
      </c>
      <c r="F213" s="17">
        <v>204.9</v>
      </c>
      <c r="G213" s="17">
        <v>220.2</v>
      </c>
      <c r="H213" s="18">
        <v>219.9</v>
      </c>
      <c r="I213" s="28">
        <v>228</v>
      </c>
      <c r="J213" s="20"/>
      <c r="K213" s="17">
        <v>204.9</v>
      </c>
      <c r="L213" s="14" t="s">
        <v>525</v>
      </c>
    </row>
    <row r="214" spans="1:12" ht="25.5" x14ac:dyDescent="0.2">
      <c r="A214" s="52"/>
      <c r="B214" s="61"/>
      <c r="C214" s="11" t="s">
        <v>460</v>
      </c>
      <c r="D214" s="11" t="s">
        <v>461</v>
      </c>
      <c r="E214" s="11" t="s">
        <v>462</v>
      </c>
      <c r="F214" s="17">
        <v>273.7</v>
      </c>
      <c r="G214" s="17">
        <v>290.89999999999998</v>
      </c>
      <c r="H214" s="18">
        <v>292.89999999999998</v>
      </c>
      <c r="I214" s="28">
        <v>305.8</v>
      </c>
      <c r="J214" s="20"/>
      <c r="K214" s="17">
        <v>338.5</v>
      </c>
      <c r="L214" s="14" t="s">
        <v>525</v>
      </c>
    </row>
    <row r="215" spans="1:12" ht="38.25" x14ac:dyDescent="0.2">
      <c r="A215" s="52"/>
      <c r="B215" s="61"/>
      <c r="C215" s="11" t="s">
        <v>463</v>
      </c>
      <c r="D215" s="11" t="s">
        <v>464</v>
      </c>
      <c r="E215" s="11" t="s">
        <v>465</v>
      </c>
      <c r="F215" s="17">
        <v>31.5</v>
      </c>
      <c r="G215" s="17">
        <v>32.700000000000003</v>
      </c>
      <c r="H215" s="18">
        <v>31.3</v>
      </c>
      <c r="I215" s="28">
        <v>32.700000000000003</v>
      </c>
      <c r="J215" s="20"/>
      <c r="K215" s="17">
        <v>41</v>
      </c>
      <c r="L215" s="14" t="s">
        <v>525</v>
      </c>
    </row>
    <row r="216" spans="1:12" ht="38.25" x14ac:dyDescent="0.2">
      <c r="A216" s="52"/>
      <c r="B216" s="61"/>
      <c r="C216" s="11" t="s">
        <v>466</v>
      </c>
      <c r="D216" s="11" t="s">
        <v>467</v>
      </c>
      <c r="E216" s="11" t="s">
        <v>454</v>
      </c>
      <c r="F216" s="17">
        <v>1162.3</v>
      </c>
      <c r="G216" s="17">
        <v>1208</v>
      </c>
      <c r="H216" s="17">
        <v>1240.0999999999999</v>
      </c>
      <c r="I216" s="28">
        <v>1267.2</v>
      </c>
      <c r="J216" s="20"/>
      <c r="K216" s="17">
        <v>1162.3</v>
      </c>
      <c r="L216" s="14" t="s">
        <v>525</v>
      </c>
    </row>
    <row r="217" spans="1:12" ht="38.25" x14ac:dyDescent="0.2">
      <c r="A217" s="52"/>
      <c r="B217" s="61"/>
      <c r="C217" s="11" t="s">
        <v>468</v>
      </c>
      <c r="D217" s="11" t="s">
        <v>469</v>
      </c>
      <c r="E217" s="11" t="s">
        <v>454</v>
      </c>
      <c r="F217" s="17">
        <v>1162.3</v>
      </c>
      <c r="G217" s="17">
        <v>1208</v>
      </c>
      <c r="H217" s="17">
        <v>1240.0999999999999</v>
      </c>
      <c r="I217" s="28">
        <v>1267.2</v>
      </c>
      <c r="J217" s="20"/>
      <c r="K217" s="17">
        <v>1162.3</v>
      </c>
      <c r="L217" s="14" t="s">
        <v>525</v>
      </c>
    </row>
    <row r="218" spans="1:12" ht="51" x14ac:dyDescent="0.2">
      <c r="A218" s="52"/>
      <c r="B218" s="61"/>
      <c r="C218" s="11" t="s">
        <v>470</v>
      </c>
      <c r="D218" s="11" t="s">
        <v>471</v>
      </c>
      <c r="E218" s="11" t="s">
        <v>454</v>
      </c>
      <c r="F218" s="17">
        <v>1162.3</v>
      </c>
      <c r="G218" s="17">
        <v>1208</v>
      </c>
      <c r="H218" s="17">
        <v>1240.0999999999999</v>
      </c>
      <c r="I218" s="28">
        <v>1267.2</v>
      </c>
      <c r="J218" s="20"/>
      <c r="K218" s="17">
        <v>1162.3</v>
      </c>
      <c r="L218" s="14" t="s">
        <v>525</v>
      </c>
    </row>
    <row r="219" spans="1:12" ht="25.5" x14ac:dyDescent="0.2">
      <c r="A219" s="52"/>
      <c r="B219" s="61"/>
      <c r="C219" s="53" t="s">
        <v>472</v>
      </c>
      <c r="D219" s="64" t="s">
        <v>473</v>
      </c>
      <c r="E219" s="11" t="s">
        <v>474</v>
      </c>
      <c r="F219" s="17">
        <v>746.4</v>
      </c>
      <c r="G219" s="17">
        <v>783.2</v>
      </c>
      <c r="H219" s="18">
        <v>713.2</v>
      </c>
      <c r="I219" s="28">
        <v>728.9</v>
      </c>
      <c r="J219" s="20"/>
      <c r="K219" s="17">
        <v>746.4</v>
      </c>
      <c r="L219" s="14" t="s">
        <v>525</v>
      </c>
    </row>
    <row r="220" spans="1:12" ht="25.5" x14ac:dyDescent="0.2">
      <c r="A220" s="52"/>
      <c r="B220" s="61"/>
      <c r="C220" s="58"/>
      <c r="D220" s="66"/>
      <c r="E220" s="11" t="s">
        <v>475</v>
      </c>
      <c r="F220" s="17">
        <v>94.5</v>
      </c>
      <c r="G220" s="17">
        <v>96.2</v>
      </c>
      <c r="H220" s="18">
        <v>99.8</v>
      </c>
      <c r="I220" s="28">
        <v>99.7</v>
      </c>
      <c r="J220" s="20"/>
      <c r="K220" s="17">
        <v>103.9</v>
      </c>
      <c r="L220" s="14" t="s">
        <v>525</v>
      </c>
    </row>
    <row r="221" spans="1:12" ht="25.5" x14ac:dyDescent="0.2">
      <c r="A221" s="51" t="s">
        <v>476</v>
      </c>
      <c r="B221" s="60" t="s">
        <v>477</v>
      </c>
      <c r="C221" s="11" t="s">
        <v>478</v>
      </c>
      <c r="D221" s="64" t="s">
        <v>479</v>
      </c>
      <c r="E221" s="11" t="s">
        <v>480</v>
      </c>
      <c r="F221" s="18">
        <v>4</v>
      </c>
      <c r="G221" s="18">
        <v>6</v>
      </c>
      <c r="H221" s="18">
        <v>7</v>
      </c>
      <c r="I221" s="28">
        <v>8</v>
      </c>
      <c r="J221" s="20"/>
      <c r="K221" s="18">
        <v>11</v>
      </c>
      <c r="L221" s="14" t="s">
        <v>526</v>
      </c>
    </row>
    <row r="222" spans="1:12" ht="38.25" x14ac:dyDescent="0.2">
      <c r="A222" s="52"/>
      <c r="B222" s="61"/>
      <c r="C222" s="11" t="s">
        <v>478</v>
      </c>
      <c r="D222" s="65"/>
      <c r="E222" s="11" t="s">
        <v>481</v>
      </c>
      <c r="F222" s="15">
        <v>0.308</v>
      </c>
      <c r="G222" s="15">
        <v>0.35299999999999998</v>
      </c>
      <c r="H222" s="15">
        <v>0.38890000000000002</v>
      </c>
      <c r="I222" s="26">
        <v>0.42109999999999997</v>
      </c>
      <c r="J222" s="15"/>
      <c r="K222" s="15">
        <v>0.64700000000000002</v>
      </c>
      <c r="L222" s="14" t="s">
        <v>527</v>
      </c>
    </row>
    <row r="223" spans="1:12" ht="25.5" x14ac:dyDescent="0.2">
      <c r="A223" s="52"/>
      <c r="B223" s="61"/>
      <c r="C223" s="11" t="s">
        <v>482</v>
      </c>
      <c r="D223" s="65"/>
      <c r="E223" s="11" t="s">
        <v>483</v>
      </c>
      <c r="F223" s="12" t="s">
        <v>12</v>
      </c>
      <c r="G223" s="18">
        <v>2</v>
      </c>
      <c r="H223" s="18">
        <v>4</v>
      </c>
      <c r="I223" s="28">
        <v>4</v>
      </c>
      <c r="J223" s="20"/>
      <c r="K223" s="18">
        <v>4</v>
      </c>
      <c r="L223" s="14" t="s">
        <v>526</v>
      </c>
    </row>
    <row r="224" spans="1:12" ht="38.25" x14ac:dyDescent="0.2">
      <c r="A224" s="52"/>
      <c r="B224" s="61"/>
      <c r="C224" s="11" t="s">
        <v>482</v>
      </c>
      <c r="D224" s="65"/>
      <c r="E224" s="11" t="s">
        <v>484</v>
      </c>
      <c r="F224" s="15">
        <v>0</v>
      </c>
      <c r="G224" s="15">
        <v>0.5</v>
      </c>
      <c r="H224" s="15">
        <v>1</v>
      </c>
      <c r="I224" s="26">
        <v>1</v>
      </c>
      <c r="J224" s="15"/>
      <c r="K224" s="15">
        <v>1</v>
      </c>
      <c r="L224" s="14" t="s">
        <v>528</v>
      </c>
    </row>
    <row r="225" spans="1:12" ht="25.5" x14ac:dyDescent="0.2">
      <c r="A225" s="52"/>
      <c r="B225" s="61"/>
      <c r="C225" s="11" t="s">
        <v>485</v>
      </c>
      <c r="D225" s="65"/>
      <c r="E225" s="11" t="s">
        <v>486</v>
      </c>
      <c r="F225" s="12" t="s">
        <v>12</v>
      </c>
      <c r="G225" s="18">
        <v>2</v>
      </c>
      <c r="H225" s="18">
        <v>3</v>
      </c>
      <c r="I225" s="28">
        <v>3</v>
      </c>
      <c r="J225" s="20"/>
      <c r="K225" s="18">
        <v>3</v>
      </c>
      <c r="L225" s="14" t="s">
        <v>529</v>
      </c>
    </row>
    <row r="226" spans="1:12" ht="38.25" x14ac:dyDescent="0.2">
      <c r="A226" s="52"/>
      <c r="B226" s="61"/>
      <c r="C226" s="11" t="s">
        <v>485</v>
      </c>
      <c r="D226" s="65"/>
      <c r="E226" s="11" t="s">
        <v>487</v>
      </c>
      <c r="F226" s="15">
        <v>0</v>
      </c>
      <c r="G226" s="15">
        <v>0.66700000000000004</v>
      </c>
      <c r="H226" s="15">
        <v>1</v>
      </c>
      <c r="I226" s="26">
        <v>1</v>
      </c>
      <c r="J226" s="15"/>
      <c r="K226" s="15">
        <v>1</v>
      </c>
      <c r="L226" s="14" t="s">
        <v>527</v>
      </c>
    </row>
    <row r="227" spans="1:12" ht="25.5" x14ac:dyDescent="0.2">
      <c r="A227" s="52"/>
      <c r="B227" s="61"/>
      <c r="C227" s="11" t="s">
        <v>488</v>
      </c>
      <c r="D227" s="65"/>
      <c r="E227" s="11" t="s">
        <v>489</v>
      </c>
      <c r="F227" s="18">
        <v>2</v>
      </c>
      <c r="G227" s="18">
        <v>2</v>
      </c>
      <c r="H227" s="18">
        <v>2</v>
      </c>
      <c r="I227" s="28">
        <v>3</v>
      </c>
      <c r="J227" s="20"/>
      <c r="K227" s="18">
        <v>5</v>
      </c>
      <c r="L227" s="14" t="s">
        <v>530</v>
      </c>
    </row>
    <row r="228" spans="1:12" ht="38.25" x14ac:dyDescent="0.2">
      <c r="A228" s="52"/>
      <c r="B228" s="61"/>
      <c r="C228" s="11" t="s">
        <v>488</v>
      </c>
      <c r="D228" s="65"/>
      <c r="E228" s="11" t="s">
        <v>490</v>
      </c>
      <c r="F228" s="15">
        <v>0.33300000000000002</v>
      </c>
      <c r="G228" s="15">
        <v>0.33300000000000002</v>
      </c>
      <c r="H228" s="15">
        <v>0.33300000000000002</v>
      </c>
      <c r="I228" s="26">
        <v>0.5</v>
      </c>
      <c r="J228" s="15"/>
      <c r="K228" s="15">
        <v>0.83299999999999996</v>
      </c>
      <c r="L228" s="14" t="s">
        <v>527</v>
      </c>
    </row>
    <row r="229" spans="1:12" ht="25.5" x14ac:dyDescent="0.2">
      <c r="A229" s="52"/>
      <c r="B229" s="61"/>
      <c r="C229" s="11" t="s">
        <v>491</v>
      </c>
      <c r="D229" s="65"/>
      <c r="E229" s="11" t="s">
        <v>492</v>
      </c>
      <c r="F229" s="12" t="s">
        <v>12</v>
      </c>
      <c r="G229" s="18">
        <v>2</v>
      </c>
      <c r="H229" s="18">
        <v>2</v>
      </c>
      <c r="I229" s="28">
        <v>2</v>
      </c>
      <c r="J229" s="20"/>
      <c r="K229" s="18">
        <v>4</v>
      </c>
      <c r="L229" s="14" t="s">
        <v>530</v>
      </c>
    </row>
    <row r="230" spans="1:12" ht="38.25" x14ac:dyDescent="0.2">
      <c r="A230" s="52"/>
      <c r="B230" s="61"/>
      <c r="C230" s="11" t="s">
        <v>491</v>
      </c>
      <c r="D230" s="65"/>
      <c r="E230" s="11" t="s">
        <v>493</v>
      </c>
      <c r="F230" s="15">
        <v>0</v>
      </c>
      <c r="G230" s="15">
        <v>0.2</v>
      </c>
      <c r="H230" s="15">
        <v>0.222</v>
      </c>
      <c r="I230" s="26">
        <v>0.22220000000000001</v>
      </c>
      <c r="J230" s="15"/>
      <c r="K230" s="15">
        <v>0.4</v>
      </c>
      <c r="L230" s="14" t="s">
        <v>527</v>
      </c>
    </row>
    <row r="231" spans="1:12" ht="25.5" x14ac:dyDescent="0.2">
      <c r="A231" s="52"/>
      <c r="B231" s="61"/>
      <c r="C231" s="11" t="s">
        <v>494</v>
      </c>
      <c r="D231" s="65"/>
      <c r="E231" s="11" t="s">
        <v>495</v>
      </c>
      <c r="F231" s="18">
        <v>10</v>
      </c>
      <c r="G231" s="18">
        <v>9</v>
      </c>
      <c r="H231" s="18">
        <v>9</v>
      </c>
      <c r="I231" s="28">
        <v>10</v>
      </c>
      <c r="J231" s="20"/>
      <c r="K231" s="18">
        <v>12</v>
      </c>
      <c r="L231" s="14" t="s">
        <v>532</v>
      </c>
    </row>
    <row r="232" spans="1:12" ht="38.25" x14ac:dyDescent="0.2">
      <c r="A232" s="52"/>
      <c r="B232" s="61"/>
      <c r="C232" s="11" t="s">
        <v>494</v>
      </c>
      <c r="D232" s="65"/>
      <c r="E232" s="11" t="s">
        <v>496</v>
      </c>
      <c r="F232" s="15">
        <v>0.25600000000000001</v>
      </c>
      <c r="G232" s="15">
        <v>0.3</v>
      </c>
      <c r="H232" s="15">
        <v>0.3</v>
      </c>
      <c r="I232" s="26">
        <v>0.30299999999999999</v>
      </c>
      <c r="J232" s="15"/>
      <c r="K232" s="15">
        <v>0.4</v>
      </c>
      <c r="L232" s="14" t="s">
        <v>531</v>
      </c>
    </row>
    <row r="233" spans="1:12" ht="25.5" x14ac:dyDescent="0.2">
      <c r="A233" s="52"/>
      <c r="B233" s="61"/>
      <c r="C233" s="11" t="s">
        <v>497</v>
      </c>
      <c r="D233" s="65"/>
      <c r="E233" s="11" t="s">
        <v>498</v>
      </c>
      <c r="F233" s="18">
        <v>6</v>
      </c>
      <c r="G233" s="18">
        <v>15</v>
      </c>
      <c r="H233" s="18">
        <v>14</v>
      </c>
      <c r="I233" s="28">
        <v>14</v>
      </c>
      <c r="J233" s="20"/>
      <c r="K233" s="18">
        <v>18</v>
      </c>
      <c r="L233" s="14" t="s">
        <v>530</v>
      </c>
    </row>
    <row r="234" spans="1:12" ht="38.25" x14ac:dyDescent="0.2">
      <c r="A234" s="52"/>
      <c r="B234" s="61"/>
      <c r="C234" s="11" t="s">
        <v>497</v>
      </c>
      <c r="D234" s="65"/>
      <c r="E234" s="11" t="s">
        <v>499</v>
      </c>
      <c r="F234" s="15">
        <v>0.27300000000000002</v>
      </c>
      <c r="G234" s="15">
        <v>0.51700000000000002</v>
      </c>
      <c r="H234" s="15">
        <v>0.53849999999999998</v>
      </c>
      <c r="I234" s="26">
        <v>0.5</v>
      </c>
      <c r="J234" s="15"/>
      <c r="K234" s="15">
        <v>0.62</v>
      </c>
      <c r="L234" s="14" t="s">
        <v>527</v>
      </c>
    </row>
    <row r="235" spans="1:12" ht="25.5" x14ac:dyDescent="0.2">
      <c r="A235" s="52"/>
      <c r="B235" s="61"/>
      <c r="C235" s="11" t="s">
        <v>500</v>
      </c>
      <c r="D235" s="65"/>
      <c r="E235" s="11" t="s">
        <v>501</v>
      </c>
      <c r="F235" s="18">
        <v>7</v>
      </c>
      <c r="G235" s="18">
        <v>18</v>
      </c>
      <c r="H235" s="18">
        <v>21</v>
      </c>
      <c r="I235" s="28">
        <v>21</v>
      </c>
      <c r="J235" s="20"/>
      <c r="K235" s="18">
        <v>29</v>
      </c>
      <c r="L235" s="14" t="s">
        <v>530</v>
      </c>
    </row>
    <row r="236" spans="1:12" ht="38.25" x14ac:dyDescent="0.2">
      <c r="A236" s="52"/>
      <c r="B236" s="61"/>
      <c r="C236" s="11" t="s">
        <v>500</v>
      </c>
      <c r="D236" s="66"/>
      <c r="E236" s="11" t="s">
        <v>502</v>
      </c>
      <c r="F236" s="15">
        <v>0.16300000000000001</v>
      </c>
      <c r="G236" s="15">
        <v>0.36699999999999999</v>
      </c>
      <c r="H236" s="15">
        <v>0.4118</v>
      </c>
      <c r="I236" s="26">
        <v>0.38900000000000001</v>
      </c>
      <c r="J236" s="15"/>
      <c r="K236" s="15">
        <v>0.59199999999999997</v>
      </c>
      <c r="L236" s="14" t="s">
        <v>527</v>
      </c>
    </row>
    <row r="237" spans="1:12" ht="51" x14ac:dyDescent="0.2">
      <c r="A237" s="52"/>
      <c r="B237" s="61"/>
      <c r="C237" s="11" t="s">
        <v>503</v>
      </c>
      <c r="D237" s="11" t="s">
        <v>504</v>
      </c>
      <c r="E237" s="11" t="s">
        <v>505</v>
      </c>
      <c r="F237" s="18">
        <v>2</v>
      </c>
      <c r="G237" s="18">
        <v>4</v>
      </c>
      <c r="H237" s="12" t="s">
        <v>12</v>
      </c>
      <c r="I237" s="28">
        <v>20</v>
      </c>
      <c r="J237" s="20"/>
      <c r="K237" s="18">
        <v>100</v>
      </c>
      <c r="L237" s="14" t="s">
        <v>506</v>
      </c>
    </row>
    <row r="238" spans="1:12" ht="204" x14ac:dyDescent="0.2">
      <c r="A238" s="51" t="s">
        <v>507</v>
      </c>
      <c r="B238" s="60" t="s">
        <v>508</v>
      </c>
      <c r="C238" s="51" t="s">
        <v>509</v>
      </c>
      <c r="D238" s="76" t="s">
        <v>510</v>
      </c>
      <c r="E238" s="34" t="s">
        <v>511</v>
      </c>
      <c r="F238" s="35" t="s">
        <v>12</v>
      </c>
      <c r="G238" s="35" t="s">
        <v>12</v>
      </c>
      <c r="H238" s="35" t="s">
        <v>12</v>
      </c>
      <c r="I238" s="28">
        <v>0</v>
      </c>
      <c r="J238" s="36"/>
      <c r="K238" s="18">
        <v>1</v>
      </c>
      <c r="L238" s="14" t="s">
        <v>512</v>
      </c>
    </row>
    <row r="239" spans="1:12" ht="51" x14ac:dyDescent="0.2">
      <c r="A239" s="52"/>
      <c r="B239" s="61"/>
      <c r="C239" s="52"/>
      <c r="D239" s="77"/>
      <c r="E239" s="34" t="s">
        <v>513</v>
      </c>
      <c r="F239" s="35" t="s">
        <v>12</v>
      </c>
      <c r="G239" s="35" t="s">
        <v>12</v>
      </c>
      <c r="H239" s="35" t="s">
        <v>12</v>
      </c>
      <c r="I239" s="28">
        <v>0</v>
      </c>
      <c r="J239" s="36"/>
      <c r="K239" s="13">
        <v>8000</v>
      </c>
      <c r="L239" s="14" t="s">
        <v>514</v>
      </c>
    </row>
    <row r="240" spans="1:12" ht="38.25" x14ac:dyDescent="0.2">
      <c r="A240" s="52"/>
      <c r="B240" s="61"/>
      <c r="C240" s="52"/>
      <c r="D240" s="77"/>
      <c r="E240" s="34" t="s">
        <v>515</v>
      </c>
      <c r="F240" s="35" t="s">
        <v>12</v>
      </c>
      <c r="G240" s="35" t="s">
        <v>12</v>
      </c>
      <c r="H240" s="35" t="s">
        <v>12</v>
      </c>
      <c r="I240" s="28">
        <v>0</v>
      </c>
      <c r="J240" s="36"/>
      <c r="K240" s="13">
        <v>6000</v>
      </c>
      <c r="L240" s="14" t="s">
        <v>514</v>
      </c>
    </row>
    <row r="241" spans="1:13" ht="38.25" x14ac:dyDescent="0.2">
      <c r="A241" s="52"/>
      <c r="B241" s="61"/>
      <c r="C241" s="52"/>
      <c r="D241" s="77"/>
      <c r="E241" s="34" t="s">
        <v>516</v>
      </c>
      <c r="F241" s="35" t="s">
        <v>12</v>
      </c>
      <c r="G241" s="35" t="s">
        <v>12</v>
      </c>
      <c r="H241" s="35" t="s">
        <v>12</v>
      </c>
      <c r="I241" s="28">
        <v>0</v>
      </c>
      <c r="J241" s="36"/>
      <c r="K241" s="13">
        <v>4000</v>
      </c>
      <c r="L241" s="14" t="s">
        <v>517</v>
      </c>
    </row>
    <row r="242" spans="1:13" ht="76.5" x14ac:dyDescent="0.2">
      <c r="A242" s="74"/>
      <c r="B242" s="75"/>
      <c r="C242" s="74"/>
      <c r="D242" s="78"/>
      <c r="E242" s="40" t="s">
        <v>518</v>
      </c>
      <c r="F242" s="41" t="s">
        <v>12</v>
      </c>
      <c r="G242" s="41" t="s">
        <v>12</v>
      </c>
      <c r="H242" s="48" t="s">
        <v>12</v>
      </c>
      <c r="I242" s="42">
        <v>0</v>
      </c>
      <c r="J242" s="45"/>
      <c r="K242" s="50">
        <v>50</v>
      </c>
      <c r="L242" s="43" t="s">
        <v>517</v>
      </c>
    </row>
    <row r="243" spans="1:13" x14ac:dyDescent="0.2">
      <c r="A243" s="46"/>
      <c r="B243" s="46"/>
      <c r="C243" s="46"/>
      <c r="D243" s="46"/>
      <c r="E243" s="46"/>
      <c r="F243" s="47"/>
      <c r="G243" s="47"/>
      <c r="H243" s="38"/>
      <c r="I243" s="49"/>
      <c r="J243" s="38"/>
      <c r="K243" s="38"/>
      <c r="L243" s="46"/>
      <c r="M243" s="44"/>
    </row>
    <row r="244" spans="1:13" x14ac:dyDescent="0.2">
      <c r="A244" s="37"/>
      <c r="B244" s="37"/>
      <c r="C244" s="37"/>
      <c r="D244" s="37"/>
      <c r="E244" s="37"/>
      <c r="F244" s="38"/>
      <c r="G244" s="38"/>
      <c r="H244" s="38"/>
      <c r="I244" s="39"/>
      <c r="J244" s="38"/>
      <c r="K244" s="38"/>
      <c r="L244" s="37"/>
      <c r="M244" s="44"/>
    </row>
    <row r="245" spans="1:13" x14ac:dyDescent="0.2">
      <c r="A245" s="37"/>
      <c r="B245" s="37"/>
      <c r="C245" s="37"/>
      <c r="D245" s="37"/>
      <c r="E245" s="37"/>
      <c r="F245" s="38"/>
      <c r="G245" s="38"/>
      <c r="H245" s="38"/>
      <c r="I245" s="39"/>
      <c r="J245" s="38"/>
      <c r="K245" s="38"/>
      <c r="L245" s="37"/>
    </row>
    <row r="246" spans="1:13" x14ac:dyDescent="0.2">
      <c r="A246" s="37"/>
      <c r="B246" s="37"/>
      <c r="C246" s="37"/>
      <c r="D246" s="37"/>
      <c r="E246" s="37"/>
      <c r="F246" s="38"/>
      <c r="G246" s="38"/>
      <c r="H246" s="38"/>
      <c r="I246" s="39"/>
      <c r="J246" s="38"/>
      <c r="K246" s="38"/>
      <c r="L246" s="37"/>
    </row>
    <row r="247" spans="1:13" x14ac:dyDescent="0.2">
      <c r="A247" s="37"/>
      <c r="B247" s="37"/>
      <c r="C247" s="37"/>
      <c r="D247" s="37"/>
      <c r="E247" s="37"/>
      <c r="F247" s="38"/>
      <c r="G247" s="38"/>
      <c r="H247" s="38"/>
      <c r="I247" s="39"/>
      <c r="J247" s="38"/>
      <c r="K247" s="38"/>
      <c r="L247" s="37"/>
    </row>
    <row r="248" spans="1:13" x14ac:dyDescent="0.2">
      <c r="A248" s="37"/>
      <c r="B248" s="37"/>
      <c r="C248" s="37"/>
      <c r="D248" s="37"/>
      <c r="E248" s="37"/>
      <c r="F248" s="38"/>
      <c r="G248" s="38"/>
      <c r="H248" s="38"/>
      <c r="I248" s="39"/>
      <c r="J248" s="38"/>
      <c r="K248" s="38"/>
      <c r="L248" s="37"/>
    </row>
    <row r="249" spans="1:13" x14ac:dyDescent="0.2">
      <c r="A249" s="37"/>
      <c r="B249" s="37"/>
      <c r="C249" s="37"/>
      <c r="D249" s="37"/>
      <c r="E249" s="37"/>
      <c r="F249" s="38"/>
      <c r="G249" s="38"/>
      <c r="H249" s="38"/>
      <c r="I249" s="39"/>
      <c r="J249" s="38"/>
      <c r="K249" s="38"/>
      <c r="L249" s="37"/>
    </row>
    <row r="250" spans="1:13" x14ac:dyDescent="0.2">
      <c r="A250" s="37"/>
      <c r="B250" s="37"/>
      <c r="C250" s="37"/>
      <c r="D250" s="37"/>
      <c r="E250" s="37"/>
      <c r="F250" s="38"/>
      <c r="G250" s="38"/>
      <c r="H250" s="38"/>
      <c r="I250" s="39"/>
      <c r="J250" s="38"/>
      <c r="K250" s="38"/>
      <c r="L250" s="37"/>
    </row>
    <row r="251" spans="1:13" x14ac:dyDescent="0.2">
      <c r="A251" s="37"/>
      <c r="B251" s="37"/>
      <c r="C251" s="37"/>
      <c r="D251" s="37"/>
      <c r="E251" s="37"/>
      <c r="F251" s="38"/>
      <c r="G251" s="38"/>
      <c r="H251" s="38"/>
      <c r="I251" s="39"/>
      <c r="J251" s="38"/>
      <c r="K251" s="38"/>
      <c r="L251" s="37"/>
    </row>
    <row r="252" spans="1:13" x14ac:dyDescent="0.2">
      <c r="A252" s="37"/>
      <c r="B252" s="37"/>
      <c r="C252" s="37"/>
      <c r="D252" s="37"/>
      <c r="E252" s="37"/>
      <c r="F252" s="38"/>
      <c r="G252" s="38"/>
      <c r="H252" s="38"/>
      <c r="I252" s="39"/>
      <c r="J252" s="38"/>
      <c r="K252" s="38"/>
      <c r="L252" s="37"/>
    </row>
    <row r="253" spans="1:13" x14ac:dyDescent="0.2">
      <c r="A253" s="37"/>
      <c r="B253" s="37"/>
      <c r="C253" s="37"/>
      <c r="D253" s="37"/>
      <c r="E253" s="37"/>
      <c r="F253" s="38"/>
      <c r="G253" s="38"/>
      <c r="H253" s="38"/>
      <c r="I253" s="39"/>
      <c r="J253" s="38"/>
      <c r="K253" s="38"/>
      <c r="L253" s="37"/>
    </row>
    <row r="254" spans="1:13" x14ac:dyDescent="0.2">
      <c r="A254" s="37"/>
      <c r="B254" s="37"/>
      <c r="C254" s="37"/>
      <c r="D254" s="37"/>
      <c r="E254" s="37"/>
      <c r="F254" s="38"/>
      <c r="G254" s="38"/>
      <c r="H254" s="38"/>
      <c r="I254" s="39"/>
      <c r="J254" s="38"/>
      <c r="K254" s="38"/>
      <c r="L254" s="37"/>
    </row>
    <row r="255" spans="1:13" x14ac:dyDescent="0.2">
      <c r="A255" s="37"/>
      <c r="B255" s="37"/>
      <c r="C255" s="37"/>
      <c r="D255" s="37"/>
      <c r="E255" s="37"/>
      <c r="F255" s="38"/>
      <c r="G255" s="38"/>
      <c r="H255" s="38"/>
      <c r="I255" s="39"/>
      <c r="J255" s="38"/>
      <c r="K255" s="38"/>
      <c r="L255" s="37"/>
    </row>
    <row r="256" spans="1:13" x14ac:dyDescent="0.2">
      <c r="A256" s="37"/>
      <c r="B256" s="37"/>
      <c r="C256" s="37"/>
      <c r="D256" s="37"/>
      <c r="E256" s="37"/>
      <c r="F256" s="38"/>
      <c r="G256" s="38"/>
      <c r="H256" s="38"/>
      <c r="I256" s="39"/>
      <c r="J256" s="38"/>
      <c r="K256" s="38"/>
      <c r="L256" s="37"/>
    </row>
    <row r="257" spans="1:12" x14ac:dyDescent="0.2">
      <c r="A257" s="37"/>
      <c r="B257" s="37"/>
      <c r="C257" s="37"/>
      <c r="D257" s="37"/>
      <c r="E257" s="37"/>
      <c r="F257" s="38"/>
      <c r="G257" s="38"/>
      <c r="H257" s="38"/>
      <c r="I257" s="39"/>
      <c r="J257" s="38"/>
      <c r="K257" s="38"/>
      <c r="L257" s="37"/>
    </row>
  </sheetData>
  <mergeCells count="135">
    <mergeCell ref="A238:A242"/>
    <mergeCell ref="B238:B242"/>
    <mergeCell ref="C238:C242"/>
    <mergeCell ref="D238:D242"/>
    <mergeCell ref="A221:A237"/>
    <mergeCell ref="A202:A208"/>
    <mergeCell ref="A209:A220"/>
    <mergeCell ref="C219:C220"/>
    <mergeCell ref="D219:D220"/>
    <mergeCell ref="B221:B237"/>
    <mergeCell ref="B209:B220"/>
    <mergeCell ref="B202:B208"/>
    <mergeCell ref="D221:D236"/>
    <mergeCell ref="D203:D206"/>
    <mergeCell ref="C203:C206"/>
    <mergeCell ref="C207:C208"/>
    <mergeCell ref="D207:D208"/>
    <mergeCell ref="C209:C213"/>
    <mergeCell ref="D209:D213"/>
    <mergeCell ref="B191:B201"/>
    <mergeCell ref="A129:A165"/>
    <mergeCell ref="A166:A180"/>
    <mergeCell ref="B166:B180"/>
    <mergeCell ref="A181:A190"/>
    <mergeCell ref="A191:A201"/>
    <mergeCell ref="A27:A68"/>
    <mergeCell ref="C69:C74"/>
    <mergeCell ref="D69:D74"/>
    <mergeCell ref="D81:D83"/>
    <mergeCell ref="C81:C83"/>
    <mergeCell ref="D85:D86"/>
    <mergeCell ref="C85:C86"/>
    <mergeCell ref="C75:C80"/>
    <mergeCell ref="D75:D80"/>
    <mergeCell ref="D63:D65"/>
    <mergeCell ref="C63:C65"/>
    <mergeCell ref="D152:D154"/>
    <mergeCell ref="D66:D67"/>
    <mergeCell ref="C66:C67"/>
    <mergeCell ref="D97:D99"/>
    <mergeCell ref="C97:C99"/>
    <mergeCell ref="D87:D88"/>
    <mergeCell ref="C87:C88"/>
    <mergeCell ref="C4:C5"/>
    <mergeCell ref="D4:D5"/>
    <mergeCell ref="C8:C9"/>
    <mergeCell ref="D8:D9"/>
    <mergeCell ref="B129:B165"/>
    <mergeCell ref="A16:A26"/>
    <mergeCell ref="A69:A128"/>
    <mergeCell ref="B69:B128"/>
    <mergeCell ref="B181:B190"/>
    <mergeCell ref="C14:C15"/>
    <mergeCell ref="D14:D15"/>
    <mergeCell ref="D60:D61"/>
    <mergeCell ref="C60:C61"/>
    <mergeCell ref="D17:D20"/>
    <mergeCell ref="C23:C24"/>
    <mergeCell ref="D23:D24"/>
    <mergeCell ref="C17:C20"/>
    <mergeCell ref="C52:C56"/>
    <mergeCell ref="D52:D56"/>
    <mergeCell ref="D161:D162"/>
    <mergeCell ref="C161:C162"/>
    <mergeCell ref="D156:D158"/>
    <mergeCell ref="C156:C158"/>
    <mergeCell ref="C152:C154"/>
    <mergeCell ref="C91:C96"/>
    <mergeCell ref="D91:D96"/>
    <mergeCell ref="D163:D165"/>
    <mergeCell ref="C163:C165"/>
    <mergeCell ref="D193:D201"/>
    <mergeCell ref="C193:C201"/>
    <mergeCell ref="D176:D177"/>
    <mergeCell ref="C176:C177"/>
    <mergeCell ref="D178:D180"/>
    <mergeCell ref="C178:C180"/>
    <mergeCell ref="D166:D174"/>
    <mergeCell ref="C166:C174"/>
    <mergeCell ref="C181:C183"/>
    <mergeCell ref="D181:D183"/>
    <mergeCell ref="C185:C190"/>
    <mergeCell ref="D185:D190"/>
    <mergeCell ref="C135:C138"/>
    <mergeCell ref="D135:D138"/>
    <mergeCell ref="C143:C151"/>
    <mergeCell ref="D143:D151"/>
    <mergeCell ref="A2:A15"/>
    <mergeCell ref="B2:B15"/>
    <mergeCell ref="C6:C7"/>
    <mergeCell ref="D6:D7"/>
    <mergeCell ref="D122:D124"/>
    <mergeCell ref="C122:C124"/>
    <mergeCell ref="C125:C126"/>
    <mergeCell ref="D125:D126"/>
    <mergeCell ref="C2:C3"/>
    <mergeCell ref="D2:D3"/>
    <mergeCell ref="B16:B26"/>
    <mergeCell ref="C10:C11"/>
    <mergeCell ref="D10:D11"/>
    <mergeCell ref="C12:C13"/>
    <mergeCell ref="D12:D13"/>
    <mergeCell ref="D57:D58"/>
    <mergeCell ref="C57:C58"/>
    <mergeCell ref="D27:D51"/>
    <mergeCell ref="C27:C51"/>
    <mergeCell ref="B27:B68"/>
    <mergeCell ref="C89:C90"/>
    <mergeCell ref="D89:D90"/>
    <mergeCell ref="D105:D106"/>
    <mergeCell ref="C105:C106"/>
    <mergeCell ref="D159:D160"/>
    <mergeCell ref="C159:C160"/>
    <mergeCell ref="D129:D130"/>
    <mergeCell ref="C129:C130"/>
    <mergeCell ref="D131:D132"/>
    <mergeCell ref="C131:C132"/>
    <mergeCell ref="D107:D111"/>
    <mergeCell ref="C107:C111"/>
    <mergeCell ref="D100:D102"/>
    <mergeCell ref="C100:C102"/>
    <mergeCell ref="D103:D104"/>
    <mergeCell ref="C103:C104"/>
    <mergeCell ref="D127:D128"/>
    <mergeCell ref="C127:C128"/>
    <mergeCell ref="D112:D116"/>
    <mergeCell ref="C112:C116"/>
    <mergeCell ref="D117:D118"/>
    <mergeCell ref="C117:C118"/>
    <mergeCell ref="D120:D121"/>
    <mergeCell ref="C120:C121"/>
    <mergeCell ref="C139:C142"/>
    <mergeCell ref="D139:D142"/>
    <mergeCell ref="D133:D134"/>
    <mergeCell ref="C133:C134"/>
  </mergeCells>
  <pageMargins left="0.25" right="0.25" top="0.75" bottom="0.75" header="0.3" footer="0.3"/>
  <pageSetup paperSize="8" fitToHeight="0" orientation="landscape" r:id="rId1"/>
  <headerFooter>
    <oddFooter>&amp;R&amp;"Calibri,Regular"&amp;11&amp;K000000&amp;P z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CAŁOŚĆ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Szmigiel</dc:creator>
  <cp:lastModifiedBy>Magdalena Dąbrowska</cp:lastModifiedBy>
  <cp:lastPrinted>2025-04-29T09:50:13Z</cp:lastPrinted>
  <dcterms:created xsi:type="dcterms:W3CDTF">2025-04-29T04:54:21Z</dcterms:created>
  <dcterms:modified xsi:type="dcterms:W3CDTF">2025-04-30T05:09:57Z</dcterms:modified>
</cp:coreProperties>
</file>