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DG\WZP\WZP\2021 rok\Postępowania prowadzone w KPRM\PN- 47 kampanie outdoor\wezwanie do złożenia dokumentów\"/>
    </mc:Choice>
  </mc:AlternateContent>
  <bookViews>
    <workbookView xWindow="0" yWindow="0" windowWidth="28800" windowHeight="12300" activeTab="3"/>
  </bookViews>
  <sheets>
    <sheet name="Podsumowanie" sheetId="7" r:id="rId1"/>
    <sheet name="Bilbordy" sheetId="1" r:id="rId2"/>
    <sheet name="Citylighty " sheetId="2" r:id="rId3"/>
    <sheet name="Murale" sheetId="3" r:id="rId4"/>
    <sheet name="Siatki wielkoformatowe" sheetId="4" r:id="rId5"/>
    <sheet name="DOOH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7" l="1"/>
  <c r="B6" i="7"/>
  <c r="BG4" i="6"/>
  <c r="BG5" i="6"/>
  <c r="BG3" i="6"/>
  <c r="BE4" i="6"/>
  <c r="BE6" i="6" s="1"/>
  <c r="BE5" i="6"/>
  <c r="BE3" i="6"/>
  <c r="BA4" i="6"/>
  <c r="BA5" i="6"/>
  <c r="BA3" i="6"/>
  <c r="AY4" i="6"/>
  <c r="AY5" i="6"/>
  <c r="AY3" i="6"/>
  <c r="AU4" i="6"/>
  <c r="AU5" i="6"/>
  <c r="AU3" i="6"/>
  <c r="AS4" i="6"/>
  <c r="AS6" i="6" s="1"/>
  <c r="AS5" i="6"/>
  <c r="AS3" i="6"/>
  <c r="AO4" i="6"/>
  <c r="AO5" i="6"/>
  <c r="AO3" i="6"/>
  <c r="AM4" i="6"/>
  <c r="AM6" i="6" s="1"/>
  <c r="AM5" i="6"/>
  <c r="AM3" i="6"/>
  <c r="AI4" i="6"/>
  <c r="AI5" i="6"/>
  <c r="AI3" i="6"/>
  <c r="AG4" i="6"/>
  <c r="AG6" i="6" s="1"/>
  <c r="AG5" i="6"/>
  <c r="AG3" i="6"/>
  <c r="AC4" i="6"/>
  <c r="AC6" i="6" s="1"/>
  <c r="AC5" i="6"/>
  <c r="AC3" i="6"/>
  <c r="AA4" i="6"/>
  <c r="AA5" i="6"/>
  <c r="AA3" i="6"/>
  <c r="W4" i="6"/>
  <c r="W6" i="6" s="1"/>
  <c r="W5" i="6"/>
  <c r="W3" i="6"/>
  <c r="U4" i="6"/>
  <c r="U5" i="6"/>
  <c r="U3" i="6"/>
  <c r="Q4" i="6"/>
  <c r="Q6" i="6" s="1"/>
  <c r="Q5" i="6"/>
  <c r="Q3" i="6"/>
  <c r="O4" i="6"/>
  <c r="O5" i="6"/>
  <c r="O3" i="6"/>
  <c r="K4" i="6"/>
  <c r="K5" i="6"/>
  <c r="K3" i="6"/>
  <c r="I4" i="6"/>
  <c r="I5" i="6"/>
  <c r="I3" i="6"/>
  <c r="E4" i="6"/>
  <c r="E5" i="6"/>
  <c r="E3" i="6"/>
  <c r="C4" i="6"/>
  <c r="C6" i="6" s="1"/>
  <c r="C5" i="6"/>
  <c r="C3" i="6"/>
  <c r="AO6" i="6"/>
  <c r="AE5" i="6"/>
  <c r="AE4" i="6"/>
  <c r="AE3" i="6"/>
  <c r="BI5" i="6"/>
  <c r="BI4" i="6"/>
  <c r="BI3" i="6"/>
  <c r="BC5" i="6"/>
  <c r="BC4" i="6"/>
  <c r="BC3" i="6"/>
  <c r="AW5" i="6"/>
  <c r="AW4" i="6"/>
  <c r="AW3" i="6"/>
  <c r="AQ5" i="6"/>
  <c r="AQ4" i="6"/>
  <c r="AQ3" i="6"/>
  <c r="AK5" i="6"/>
  <c r="AK4" i="6"/>
  <c r="AK3" i="6"/>
  <c r="Y5" i="6"/>
  <c r="Y4" i="6"/>
  <c r="Y3" i="6"/>
  <c r="S5" i="6"/>
  <c r="S4" i="6"/>
  <c r="S3" i="6"/>
  <c r="M5" i="6"/>
  <c r="M4" i="6"/>
  <c r="M3" i="6"/>
  <c r="G5" i="6"/>
  <c r="G4" i="6"/>
  <c r="G3" i="6"/>
  <c r="C5" i="7"/>
  <c r="B5" i="7"/>
  <c r="C6" i="4"/>
  <c r="C5" i="4"/>
  <c r="AI3" i="4"/>
  <c r="AG3" i="4"/>
  <c r="AC3" i="4"/>
  <c r="AA3" i="4"/>
  <c r="W3" i="4"/>
  <c r="U3" i="4"/>
  <c r="Q3" i="4"/>
  <c r="O3" i="4"/>
  <c r="K3" i="4"/>
  <c r="I3" i="4"/>
  <c r="E3" i="4"/>
  <c r="C3" i="4"/>
  <c r="AK3" i="4"/>
  <c r="AE3" i="4"/>
  <c r="Y3" i="4"/>
  <c r="S3" i="4"/>
  <c r="M3" i="4"/>
  <c r="G3" i="4"/>
  <c r="C4" i="7"/>
  <c r="B4" i="7"/>
  <c r="C3" i="7"/>
  <c r="B3" i="7"/>
  <c r="C6" i="3"/>
  <c r="C5" i="3"/>
  <c r="AC3" i="3"/>
  <c r="AA3" i="3"/>
  <c r="AE3" i="3"/>
  <c r="W3" i="3"/>
  <c r="U3" i="3"/>
  <c r="Q3" i="3"/>
  <c r="O3" i="3"/>
  <c r="K3" i="3"/>
  <c r="I3" i="3"/>
  <c r="E3" i="3"/>
  <c r="C3" i="3"/>
  <c r="Y3" i="3"/>
  <c r="S3" i="3"/>
  <c r="M3" i="3"/>
  <c r="G3" i="3"/>
  <c r="C6" i="2"/>
  <c r="C5" i="2"/>
  <c r="AO3" i="2"/>
  <c r="AM3" i="2"/>
  <c r="AI3" i="2"/>
  <c r="AG3" i="2"/>
  <c r="AC3" i="2"/>
  <c r="AA3" i="2"/>
  <c r="W3" i="2"/>
  <c r="U3" i="2"/>
  <c r="Q3" i="2"/>
  <c r="O3" i="2"/>
  <c r="K3" i="2"/>
  <c r="I3" i="2"/>
  <c r="E3" i="2"/>
  <c r="C3" i="2"/>
  <c r="AQ3" i="2"/>
  <c r="AK3" i="2"/>
  <c r="AE3" i="2"/>
  <c r="Y3" i="2"/>
  <c r="S3" i="2"/>
  <c r="M3" i="2"/>
  <c r="G3" i="2"/>
  <c r="AU10" i="1"/>
  <c r="AU4" i="1"/>
  <c r="AU5" i="1"/>
  <c r="AU6" i="1"/>
  <c r="AU7" i="1"/>
  <c r="AU8" i="1"/>
  <c r="AU9" i="1"/>
  <c r="AU3" i="1"/>
  <c r="AS10" i="1"/>
  <c r="AS4" i="1"/>
  <c r="AS5" i="1"/>
  <c r="AS6" i="1"/>
  <c r="AS7" i="1"/>
  <c r="AS8" i="1"/>
  <c r="AS9" i="1"/>
  <c r="AS3" i="1"/>
  <c r="AO10" i="1"/>
  <c r="AO4" i="1"/>
  <c r="AO5" i="1"/>
  <c r="AO6" i="1"/>
  <c r="AO7" i="1"/>
  <c r="AO8" i="1"/>
  <c r="AO9" i="1"/>
  <c r="AO3" i="1"/>
  <c r="AM10" i="1"/>
  <c r="AM4" i="1"/>
  <c r="AM5" i="1"/>
  <c r="AM6" i="1"/>
  <c r="AM7" i="1"/>
  <c r="AM8" i="1"/>
  <c r="AM9" i="1"/>
  <c r="AM3" i="1"/>
  <c r="AI10" i="1"/>
  <c r="AG10" i="1"/>
  <c r="AI4" i="1"/>
  <c r="AI5" i="1"/>
  <c r="AI6" i="1"/>
  <c r="AI7" i="1"/>
  <c r="AI8" i="1"/>
  <c r="AI9" i="1"/>
  <c r="AI3" i="1"/>
  <c r="AG4" i="1"/>
  <c r="AG5" i="1"/>
  <c r="AG6" i="1"/>
  <c r="AG7" i="1"/>
  <c r="AG8" i="1"/>
  <c r="AG9" i="1"/>
  <c r="AG3" i="1"/>
  <c r="AW9" i="1"/>
  <c r="AW8" i="1"/>
  <c r="AW7" i="1"/>
  <c r="AW6" i="1"/>
  <c r="AW5" i="1"/>
  <c r="AW4" i="1"/>
  <c r="AW3" i="1"/>
  <c r="AQ9" i="1"/>
  <c r="AQ8" i="1"/>
  <c r="AQ7" i="1"/>
  <c r="AQ6" i="1"/>
  <c r="AQ5" i="1"/>
  <c r="AQ4" i="1"/>
  <c r="AQ3" i="1"/>
  <c r="AK9" i="1"/>
  <c r="AK8" i="1"/>
  <c r="AK7" i="1"/>
  <c r="AK6" i="1"/>
  <c r="AK5" i="1"/>
  <c r="AK4" i="1"/>
  <c r="AK3" i="1"/>
  <c r="AE9" i="1"/>
  <c r="AA9" i="1" s="1"/>
  <c r="AE8" i="1"/>
  <c r="AC8" i="1" s="1"/>
  <c r="AE7" i="1"/>
  <c r="AA7" i="1" s="1"/>
  <c r="AE6" i="1"/>
  <c r="AA6" i="1" s="1"/>
  <c r="AE5" i="1"/>
  <c r="AA5" i="1" s="1"/>
  <c r="AE4" i="1"/>
  <c r="AC4" i="1" s="1"/>
  <c r="AE3" i="1"/>
  <c r="AA3" i="1" s="1"/>
  <c r="Y9" i="1"/>
  <c r="W9" i="1" s="1"/>
  <c r="Y8" i="1"/>
  <c r="U8" i="1" s="1"/>
  <c r="Y7" i="1"/>
  <c r="U7" i="1" s="1"/>
  <c r="Y6" i="1"/>
  <c r="W6" i="1" s="1"/>
  <c r="Y5" i="1"/>
  <c r="U5" i="1" s="1"/>
  <c r="Y4" i="1"/>
  <c r="U4" i="1" s="1"/>
  <c r="Y3" i="1"/>
  <c r="W3" i="1" s="1"/>
  <c r="S9" i="1"/>
  <c r="O9" i="1" s="1"/>
  <c r="S8" i="1"/>
  <c r="Q8" i="1" s="1"/>
  <c r="S7" i="1"/>
  <c r="O7" i="1" s="1"/>
  <c r="S6" i="1"/>
  <c r="O6" i="1" s="1"/>
  <c r="S5" i="1"/>
  <c r="O5" i="1" s="1"/>
  <c r="S4" i="1"/>
  <c r="Q4" i="1" s="1"/>
  <c r="S3" i="1"/>
  <c r="O3" i="1" s="1"/>
  <c r="M9" i="1"/>
  <c r="I9" i="1" s="1"/>
  <c r="M8" i="1"/>
  <c r="I8" i="1" s="1"/>
  <c r="I7" i="1"/>
  <c r="M6" i="1"/>
  <c r="I6" i="1" s="1"/>
  <c r="M5" i="1"/>
  <c r="I5" i="1" s="1"/>
  <c r="M4" i="1"/>
  <c r="I4" i="1" s="1"/>
  <c r="M3" i="1"/>
  <c r="I3" i="1" s="1"/>
  <c r="G9" i="1"/>
  <c r="E9" i="1" s="1"/>
  <c r="G8" i="1"/>
  <c r="C8" i="1" s="1"/>
  <c r="G7" i="1"/>
  <c r="C7" i="1" s="1"/>
  <c r="G6" i="1"/>
  <c r="C6" i="1" s="1"/>
  <c r="G5" i="1"/>
  <c r="E5" i="1" s="1"/>
  <c r="G4" i="1"/>
  <c r="C4" i="1" s="1"/>
  <c r="G3" i="1"/>
  <c r="E3" i="1" s="1"/>
  <c r="BG6" i="6" l="1"/>
  <c r="BA6" i="6"/>
  <c r="AY6" i="6"/>
  <c r="AU6" i="6"/>
  <c r="AI6" i="6"/>
  <c r="AA6" i="6"/>
  <c r="U6" i="6"/>
  <c r="O6" i="6"/>
  <c r="K6" i="6"/>
  <c r="I6" i="6"/>
  <c r="E6" i="6"/>
  <c r="AC6" i="1"/>
  <c r="AC7" i="1"/>
  <c r="AC3" i="1"/>
  <c r="AA8" i="1"/>
  <c r="AA4" i="1"/>
  <c r="W7" i="1"/>
  <c r="AC9" i="1"/>
  <c r="AC5" i="1"/>
  <c r="U9" i="1"/>
  <c r="U3" i="1"/>
  <c r="W5" i="1"/>
  <c r="U6" i="1"/>
  <c r="W8" i="1"/>
  <c r="W4" i="1"/>
  <c r="Q6" i="1"/>
  <c r="O4" i="1"/>
  <c r="O8" i="1"/>
  <c r="Q7" i="1"/>
  <c r="Q3" i="1"/>
  <c r="Q9" i="1"/>
  <c r="Q5" i="1"/>
  <c r="K6" i="1"/>
  <c r="K7" i="1"/>
  <c r="K3" i="1"/>
  <c r="I10" i="1"/>
  <c r="K9" i="1"/>
  <c r="K5" i="1"/>
  <c r="K8" i="1"/>
  <c r="K4" i="1"/>
  <c r="C3" i="1"/>
  <c r="E8" i="1"/>
  <c r="E4" i="1"/>
  <c r="E7" i="1"/>
  <c r="E6" i="1"/>
  <c r="C5" i="1"/>
  <c r="C9" i="1"/>
  <c r="C9" i="6" l="1"/>
  <c r="C10" i="6"/>
  <c r="AA10" i="1"/>
  <c r="AC10" i="1"/>
  <c r="U10" i="1"/>
  <c r="W10" i="1"/>
  <c r="O10" i="1"/>
  <c r="Q10" i="1"/>
  <c r="K10" i="1"/>
  <c r="E10" i="1"/>
  <c r="C14" i="1" s="1"/>
  <c r="C2" i="7" s="1"/>
  <c r="C7" i="7" s="1"/>
  <c r="C10" i="1"/>
  <c r="C13" i="1" l="1"/>
  <c r="B2" i="7" s="1"/>
  <c r="B7" i="7" s="1"/>
</calcChain>
</file>

<file path=xl/sharedStrings.xml><?xml version="1.0" encoding="utf-8"?>
<sst xmlns="http://schemas.openxmlformats.org/spreadsheetml/2006/main" count="253" uniqueCount="164">
  <si>
    <t>Nośnik</t>
  </si>
  <si>
    <t>billboard 12 m² o formacie 5,04 x 2,38 m.</t>
  </si>
  <si>
    <t>billboard 12 m² o formacie 4 x 3 m.</t>
  </si>
  <si>
    <t>billboard 18 m² o formacie 6 x 3 m.</t>
  </si>
  <si>
    <t>billboard 48 m² o formacie 12 x 4 m.</t>
  </si>
  <si>
    <t>billboard 36 m² o formacie 12 x 3 m.</t>
  </si>
  <si>
    <t>billboard od 2,5 m² do 5,5 m²</t>
  </si>
  <si>
    <t>billboard 32 m² o formacie 8 x 4 m.</t>
  </si>
  <si>
    <t>koszt powierzchni z widownią
 od 5 000 do 10 000 osób na dobę</t>
  </si>
  <si>
    <t>citylight</t>
  </si>
  <si>
    <t>koszt powierzchni z widownią
od 15 000 do 25 000 osób na dobę</t>
  </si>
  <si>
    <t>koszt powierzchni z widownią
powyżej 25 000 osób na dobę</t>
  </si>
  <si>
    <t>Mural</t>
  </si>
  <si>
    <t>nośnik o przekątnej ekranu 55”,</t>
  </si>
  <si>
    <t>nośnik o przekątnej ekranu 65”,</t>
  </si>
  <si>
    <t>nośnik o przekątnej ekranu 75”.</t>
  </si>
  <si>
    <t>koszt 1 emisji 10 s. na nośniku z widownią do 30 000 osób na miesiąc,</t>
  </si>
  <si>
    <t>koszt 1 emisji 10 s. na nośniku z widownią od 30 000 do 45 000 osób na miesiąc</t>
  </si>
  <si>
    <t>koszt 1 emisji 15 s. na nośniku z widownią od 30 000 do 45 000 osób na miesiąc</t>
  </si>
  <si>
    <t>koszt 1 emisji 15 s. na nośniku z widownią do 30 000 osób na miesiąc</t>
  </si>
  <si>
    <t>koszt 1 emisji 10 s. na nośniku z widownią od 45 000 do 60 000 osób na miesiąc</t>
  </si>
  <si>
    <t>koszt 1 emisji 15 s. na nośniku z widownią od 45 000 do 60 000 osób na miesiąc</t>
  </si>
  <si>
    <t>koszt 1 emisji 10 s. na nośniku z widownią od 60 000 do 75 000 osób na miesiąc</t>
  </si>
  <si>
    <t>koszt 1 emisji 10 s. na nośniku z widownią powyżej 75 000 osób na miesiąc.</t>
  </si>
  <si>
    <t>koszt 1 emisji 15 s. na nośniku z widownią powyżej 75 000 osób na miesiąc</t>
  </si>
  <si>
    <t>koszt powierzchni za m2 widownią 
od 500 000 do 750 000 osób na miesiąc</t>
  </si>
  <si>
    <t>koszt powierzchni za m2 z widownią 
od 500 000 do 750 000 osób na miesiąc</t>
  </si>
  <si>
    <t>koszt powierzchni za m2 z widownią 
 od 750 000 do 1 000 000 osób na miesiąc</t>
  </si>
  <si>
    <t>koszt powierzchni za m2 z widownią 
 od 1 000 000 do 1 500 000 osób na miesiąc</t>
  </si>
  <si>
    <t>koszt powierzchni za m2 z widownią 
powyżej 1 500 000 na miesiąc</t>
  </si>
  <si>
    <t>koszt powierzchni za m2 widownią 
 od 750 000 do 1 000 000 osób na miesiąc</t>
  </si>
  <si>
    <t>koszt powierzchni za m2 widownią 
 od 1 000 000 do 1 500 000 osób na miesiąc</t>
  </si>
  <si>
    <t>koszt powierzchni za m2 widownią 
od 1 500 000 do 2 000 000 osób na miesiąc</t>
  </si>
  <si>
    <t>koszt powierzchni za m2 widownią 
powyżej 2 000 000 na miesiąc</t>
  </si>
  <si>
    <t>Siatka wielkoformatowa</t>
  </si>
  <si>
    <t>koszt druku3</t>
  </si>
  <si>
    <t>koszt druku1</t>
  </si>
  <si>
    <t>koszt powierzchni z widownią
 do 1 000 osób na dobę3</t>
  </si>
  <si>
    <t>koszt powierzchni z widownią
 do 1 000 osób na dobę1</t>
  </si>
  <si>
    <t>koszt powierzchni z widownią 
od 1 000 do 5 000 osób na dobę3</t>
  </si>
  <si>
    <t>koszt powierzchni z widownią
 od 5 000 do 10 000 osób na dobę1</t>
  </si>
  <si>
    <t>koszt powierzchni z widownią
 od 5 000 do 10 000 osób na dobę3</t>
  </si>
  <si>
    <t>koszt powierzchni z widownią
 od 10 000 do 20 000 osób na dobę3</t>
  </si>
  <si>
    <t>koszt powierzchni z widownią
 od 10 000 do 20 000 osób na dobę1</t>
  </si>
  <si>
    <t>koszt powierzchni z widownią
od 20 000 do 30 000 osób na dobę32</t>
  </si>
  <si>
    <t>koszt powierzchni z widownią
od 30 000 do 50 000 osób na dobę3</t>
  </si>
  <si>
    <t>koszt powierzchni z widownią
od 30 000 do 50 000 osób na dobę1</t>
  </si>
  <si>
    <t>koszt powierzchni z widownią
od 30 000 do 50 000 osób na dobę2</t>
  </si>
  <si>
    <t>koszt powierzchni z widownią
powyżej 50 000 osób na dobę3</t>
  </si>
  <si>
    <t>koszt powierzchni z widownią 
od 1 000 do 5 000 osób na dobę1</t>
  </si>
  <si>
    <t>koszt powierzchni z widownią
od 30 000 do 50 000 osób na dobę12</t>
  </si>
  <si>
    <t>koszt powierzchni z widownią
powyżej 50 000 osób na dobę1</t>
  </si>
  <si>
    <t>koszt powierzchni z widownią
powyżej 50 000 osób na dobę2</t>
  </si>
  <si>
    <t>SIGMA</t>
  </si>
  <si>
    <t>STROER</t>
  </si>
  <si>
    <t>koszt powierzchni z widownią
 od 10 000 do 15 000 osób na dobę1</t>
  </si>
  <si>
    <t>koszt powierzchni z widownią
 od 10 000 do 15 000 osób na dobę3</t>
  </si>
  <si>
    <t>koszt powierzchni z widownią
od 15 000 do 25 000 osób na dobę22</t>
  </si>
  <si>
    <t>koszt powierzchni z widownią
powyżej 25 000 osób na dobę22</t>
  </si>
  <si>
    <t>koszt namalowania za m3</t>
  </si>
  <si>
    <t>koszt powierzchni za m2 z widownią 
od 500 000 do 750 000 osób na miesiąc3</t>
  </si>
  <si>
    <t>koszt powierzchni za m2 z widownią 
 od 750 000 do 1 000 000 osób na miesiąc3</t>
  </si>
  <si>
    <t>koszt powierzchni za m2 z widownią 
 od 1 000 000 do 1 500 000 osób na miesiąc3</t>
  </si>
  <si>
    <t>koszt powierzchni za m2 z widownią 
powyżej 1 500 000 na miesiąc3</t>
  </si>
  <si>
    <t>koszt namalowania za m1</t>
  </si>
  <si>
    <t>koszt powierzchni za m2 widownią 
od 500 000 do 750 000 osób na miesiąc3</t>
  </si>
  <si>
    <t>koszt powierzchni za m2 widownią 
 od 750 000 do 1 000 000 osób na miesiąc3</t>
  </si>
  <si>
    <t>koszt powierzchni za m2 widownią 
powyżej 2 000 000 na miesiąc3</t>
  </si>
  <si>
    <t>koszt powierzchni za m2 widownią 
 od 1 000 000 do 1 500 000 osób na miesiąc22</t>
  </si>
  <si>
    <t>koszt powierzchni za m2 widownią 
od 1 500 000 do 2 000 000 osób na miesiąc22</t>
  </si>
  <si>
    <t>koszt 1 emisji 15 s. na nośniku z widownią od 60 000 do 75 000 osób na miesiąc3</t>
  </si>
  <si>
    <t>koszt 1 emisji 10 s. na nośniku z widownią do 30 000 osób na miesiąc,3</t>
  </si>
  <si>
    <t>koszt 1 emisji 15 s. na nośniku z widownią do 30 000 osób na miesiąc3</t>
  </si>
  <si>
    <t>koszt 1 emisji 10 s. na nośniku z widownią od 30 000 do 45 000 osób na miesiąc3</t>
  </si>
  <si>
    <t>koszt 1 emisji 15 s. na nośniku z widownią od 30 000 do 45 000 osób na miesiąc3</t>
  </si>
  <si>
    <t>koszt 1 emisji 10 s. na nośniku z widownią od 45 000 do 60 000 osób na miesiąc3</t>
  </si>
  <si>
    <t>koszt 1 emisji 10 s. na nośniku z widownią od 60 000 do 75 000 osób na miesiąc3</t>
  </si>
  <si>
    <t>koszt 1 emisji 15 s. na nośniku z widownią od 45 000 do 60 000 osób na miesiąc3</t>
  </si>
  <si>
    <t>koszt 1 emisji 10 s. na nośniku z widownią powyżej 75 000 osób na miesiąc.3</t>
  </si>
  <si>
    <t>koszt 1 emisji 15 s. na nośniku z widownią powyżej 75 000 osób na miesiąc3</t>
  </si>
  <si>
    <t>koszt 1 emisji 15 s. na nośniku z widownią od 60 000 do 75 000 osób na miesiąc</t>
  </si>
  <si>
    <t>koszt za m2 wydruku</t>
  </si>
  <si>
    <t>koszt za m2 wydruku3</t>
  </si>
  <si>
    <t>Simga pkt</t>
  </si>
  <si>
    <t>Kwota najniższa</t>
  </si>
  <si>
    <t>Simga pkt2</t>
  </si>
  <si>
    <t>STROER pkt2</t>
  </si>
  <si>
    <t>Kwota najniższa2</t>
  </si>
  <si>
    <t>Kwota najniższa3</t>
  </si>
  <si>
    <t>Waga1</t>
  </si>
  <si>
    <t>Waga2</t>
  </si>
  <si>
    <t>Waga3</t>
  </si>
  <si>
    <t>Waga4</t>
  </si>
  <si>
    <t>Kwota najniższa4</t>
  </si>
  <si>
    <t>Simga pkt3</t>
  </si>
  <si>
    <t>STROER pkt4</t>
  </si>
  <si>
    <t>Simga pkt1</t>
  </si>
  <si>
    <t>STROER pkt1</t>
  </si>
  <si>
    <t>Simga pkt4</t>
  </si>
  <si>
    <t>STROER pkt42</t>
  </si>
  <si>
    <t>Waga5</t>
  </si>
  <si>
    <t>Kwota najniższa5</t>
  </si>
  <si>
    <t>Simga pkt5</t>
  </si>
  <si>
    <t>STROER pkt5</t>
  </si>
  <si>
    <t>koszt powierzchni z widownią
od 20 000 do 30 000 osób na dobę33</t>
  </si>
  <si>
    <t>średnia - 30%62</t>
  </si>
  <si>
    <t>koszt powierzchni z widownią
od 30 000 do 50 000 osób na dobę13</t>
  </si>
  <si>
    <t>koszt powierzchni z widownią
od 30 000 do 50 000 osób na dobę4</t>
  </si>
  <si>
    <t>średnia - 30%72</t>
  </si>
  <si>
    <t>koszt powierzchni z widownią
powyżej 50 000 osób na dobę4</t>
  </si>
  <si>
    <t>Waga6</t>
  </si>
  <si>
    <t>Waga7</t>
  </si>
  <si>
    <t>Waga8</t>
  </si>
  <si>
    <t>Waga9</t>
  </si>
  <si>
    <t>Simga pkt6</t>
  </si>
  <si>
    <t>Simga pkt7</t>
  </si>
  <si>
    <t>Stroer pkt</t>
  </si>
  <si>
    <t>Stroer pkt2</t>
  </si>
  <si>
    <t>Stroer pkt3</t>
  </si>
  <si>
    <t>Stroer pkt4</t>
  </si>
  <si>
    <t>Stroer pkt5</t>
  </si>
  <si>
    <t>Stroer pkt6</t>
  </si>
  <si>
    <t>Stroer pkt7</t>
  </si>
  <si>
    <t>Waga</t>
  </si>
  <si>
    <t>Kwota najniższa6</t>
  </si>
  <si>
    <t>Kwota najniższa7</t>
  </si>
  <si>
    <t>1</t>
  </si>
  <si>
    <t>SIMGA pkt</t>
  </si>
  <si>
    <t>Najniższa kwota</t>
  </si>
  <si>
    <t>Najniższa kwota3</t>
  </si>
  <si>
    <t>Najniższa kwota4</t>
  </si>
  <si>
    <t>Najniższa kwota5</t>
  </si>
  <si>
    <t>Najniższa kwota2</t>
  </si>
  <si>
    <t>SIMGA pkt2</t>
  </si>
  <si>
    <t>SIMGA pkt3</t>
  </si>
  <si>
    <t>SIMGA pkt4</t>
  </si>
  <si>
    <t>SIMGA pkt5</t>
  </si>
  <si>
    <t>Citylighty</t>
  </si>
  <si>
    <t>Murale</t>
  </si>
  <si>
    <t>Siatki wielkoformatowe</t>
  </si>
  <si>
    <t>DOOH</t>
  </si>
  <si>
    <t>Sigma</t>
  </si>
  <si>
    <t>Stroer</t>
  </si>
  <si>
    <t>Wykonawca</t>
  </si>
  <si>
    <t>Bilboardy</t>
  </si>
  <si>
    <t>Suma</t>
  </si>
  <si>
    <t>Sigma pkt</t>
  </si>
  <si>
    <t>Sigma pkt2</t>
  </si>
  <si>
    <t>Sigma pkt3</t>
  </si>
  <si>
    <t>Sigma pkt4</t>
  </si>
  <si>
    <t>Sigma pkt5</t>
  </si>
  <si>
    <t>Sigma pkt6</t>
  </si>
  <si>
    <t>Najniższa kwota6</t>
  </si>
  <si>
    <t>Simga pkt8</t>
  </si>
  <si>
    <t>Simga pkt9</t>
  </si>
  <si>
    <t>Simga pkt10</t>
  </si>
  <si>
    <t>Stroer pkt8</t>
  </si>
  <si>
    <t>Stroer pkt9</t>
  </si>
  <si>
    <t>Stroer pkt10</t>
  </si>
  <si>
    <t>Najniższa kwota7</t>
  </si>
  <si>
    <t>Najniższa kwota8</t>
  </si>
  <si>
    <t>Najniższa kwota9</t>
  </si>
  <si>
    <t>Najniższa kwota10</t>
  </si>
  <si>
    <t>Waga10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</si>
</sst>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\ _z_ł_-;\-* #,##0.0\ _z_ł_-;_-* &quot;-&quot;?\ _z_ł_-;_-@_-"/>
    <numFmt numFmtId="165" formatCode="_-* #,##0.0_-;\-* #,##0.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 applyBorder="1" applyProtection="1">
      <protection locked="0"/>
    </xf>
    <xf numFmtId="0" fontId="2" fillId="0" borderId="0" xfId="0" applyFont="1"/>
    <xf numFmtId="0" fontId="8" fillId="0" borderId="0" xfId="0" applyFont="1" applyAlignment="1">
      <alignment horizontal="left" vertical="center" indent="1"/>
    </xf>
    <xf numFmtId="165" fontId="0" fillId="0" borderId="0" xfId="2" applyNumberFormat="1" applyFont="1"/>
    <xf numFmtId="43" fontId="0" fillId="0" borderId="0" xfId="2" applyFont="1" applyBorder="1" applyProtection="1">
      <protection locked="0"/>
    </xf>
    <xf numFmtId="165" fontId="0" fillId="0" borderId="0" xfId="2" applyNumberFormat="1" applyFont="1" applyBorder="1"/>
    <xf numFmtId="165" fontId="8" fillId="0" borderId="0" xfId="2" applyNumberFormat="1" applyFont="1" applyBorder="1"/>
    <xf numFmtId="44" fontId="8" fillId="0" borderId="0" xfId="1" applyFont="1" applyBorder="1" applyProtection="1">
      <protection locked="0"/>
    </xf>
    <xf numFmtId="43" fontId="0" fillId="0" borderId="0" xfId="2" applyFont="1"/>
    <xf numFmtId="43" fontId="8" fillId="0" borderId="0" xfId="2" applyFont="1" applyBorder="1" applyProtection="1">
      <protection locked="0"/>
    </xf>
    <xf numFmtId="43" fontId="8" fillId="0" borderId="0" xfId="2" applyFont="1" applyProtection="1">
      <protection locked="0"/>
    </xf>
    <xf numFmtId="43" fontId="0" fillId="0" borderId="0" xfId="0" applyNumberFormat="1"/>
    <xf numFmtId="43" fontId="8" fillId="0" borderId="0" xfId="0" applyNumberFormat="1" applyFont="1" applyProtection="1">
      <protection locked="0"/>
    </xf>
    <xf numFmtId="44" fontId="0" fillId="0" borderId="0" xfId="0" applyNumberFormat="1" applyFont="1" applyBorder="1" applyProtection="1">
      <protection locked="0"/>
    </xf>
    <xf numFmtId="0" fontId="8" fillId="0" borderId="0" xfId="0" applyFont="1"/>
    <xf numFmtId="44" fontId="8" fillId="0" borderId="0" xfId="0" applyNumberFormat="1" applyFont="1" applyProtection="1">
      <protection locked="0"/>
    </xf>
    <xf numFmtId="0" fontId="0" fillId="0" borderId="0" xfId="0" applyAlignment="1">
      <alignment horizontal="right"/>
    </xf>
    <xf numFmtId="43" fontId="0" fillId="0" borderId="0" xfId="2" applyFont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44" fontId="8" fillId="0" borderId="0" xfId="0" applyNumberFormat="1" applyFont="1" applyBorder="1" applyAlignment="1" applyProtection="1">
      <alignment horizontal="left" vertical="center" indent="1"/>
      <protection locked="0"/>
    </xf>
    <xf numFmtId="43" fontId="8" fillId="0" borderId="0" xfId="0" applyNumberFormat="1" applyFont="1" applyBorder="1" applyProtection="1">
      <protection locked="0"/>
    </xf>
    <xf numFmtId="43" fontId="0" fillId="0" borderId="0" xfId="0" applyNumberFormat="1" applyFon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44" fontId="8" fillId="0" borderId="0" xfId="0" applyNumberFormat="1" applyFont="1" applyBorder="1" applyProtection="1">
      <protection locked="0"/>
    </xf>
    <xf numFmtId="0" fontId="8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left" vertical="center" indent="1"/>
    </xf>
    <xf numFmtId="43" fontId="8" fillId="0" borderId="0" xfId="2" applyFont="1" applyBorder="1"/>
    <xf numFmtId="44" fontId="8" fillId="0" borderId="0" xfId="1" applyFont="1" applyBorder="1"/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164" fontId="0" fillId="0" borderId="0" xfId="0" applyNumberFormat="1" applyBorder="1"/>
    <xf numFmtId="0" fontId="9" fillId="2" borderId="1" xfId="0" applyFont="1" applyFill="1" applyBorder="1" applyAlignment="1">
      <alignment horizontal="center" vertical="center"/>
    </xf>
    <xf numFmtId="43" fontId="0" fillId="0" borderId="0" xfId="2" applyFont="1" applyAlignment="1">
      <alignment horizontal="right"/>
    </xf>
    <xf numFmtId="0" fontId="4" fillId="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indent="1"/>
    </xf>
    <xf numFmtId="43" fontId="2" fillId="6" borderId="0" xfId="0" applyNumberFormat="1" applyFont="1" applyFill="1"/>
    <xf numFmtId="0" fontId="7" fillId="5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8" fillId="0" borderId="0" xfId="0" applyNumberFormat="1" applyFont="1" applyProtection="1">
      <protection locked="0"/>
    </xf>
    <xf numFmtId="44" fontId="8" fillId="0" borderId="0" xfId="0" applyNumberFormat="1" applyFont="1" applyAlignment="1" applyProtection="1">
      <alignment vertical="center" wrapText="1"/>
      <protection locked="0"/>
    </xf>
    <xf numFmtId="43" fontId="0" fillId="7" borderId="0" xfId="2" applyFont="1" applyFill="1" applyBorder="1" applyProtection="1">
      <protection locked="0"/>
    </xf>
    <xf numFmtId="44" fontId="0" fillId="7" borderId="0" xfId="1" applyFont="1" applyFill="1" applyBorder="1" applyProtection="1">
      <protection locked="0"/>
    </xf>
  </cellXfs>
  <cellStyles count="3">
    <cellStyle name="Dziesiętny" xfId="2" builtinId="3"/>
    <cellStyle name="Normalny" xfId="0" builtinId="0"/>
    <cellStyle name="Walutowy" xfId="1" builtinId="4"/>
  </cellStyles>
  <dxfs count="3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_-;\-* #,##0.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_-;\-* #,##0.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5" formatCode="_-* #,##0.00_-;\-* #,##0.00_-;_-* &quot;-&quot;??_-;_-@_-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4" formatCode="_-* #,##0.00\ &quot;zł&quot;_-;\-* #,##0.00\ &quot;zł&quot;_-;_-* &quot;-&quot;??\ &quot;zł&quot;_-;_-@_-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ela5" displayName="Tabela5" ref="A1:C7" totalsRowShown="0">
  <autoFilter ref="A1:C7"/>
  <tableColumns count="3">
    <tableColumn id="1" name="Wykonawca"/>
    <tableColumn id="2" name="Sigma"/>
    <tableColumn id="3" name="Stroer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2:AW10" totalsRowCount="1" headerRowDxfId="339">
  <tableColumns count="49">
    <tableColumn id="1" name="Nośnik" dataDxfId="338" totalsRowDxfId="337"/>
    <tableColumn id="19" name="koszt druku1" dataDxfId="336" totalsRowDxfId="335" dataCellStyle="Walutowy"/>
    <tableColumn id="4" name="Simga pkt1" totalsRowFunction="custom" dataDxfId="334" totalsRowDxfId="333" dataCellStyle="Dziesiętny">
      <totalsRowFormula>SUM(Tabela1[Simga pkt1])</totalsRowFormula>
    </tableColumn>
    <tableColumn id="2" name="koszt druku3" dataDxfId="332" totalsRowDxfId="331" dataCellStyle="Walutowy"/>
    <tableColumn id="8" name="STROER pkt1" totalsRowFunction="custom" dataDxfId="330" totalsRowDxfId="329" dataCellStyle="Walutowy">
      <totalsRowFormula>SUM(Tabela1[STROER pkt1])</totalsRowFormula>
    </tableColumn>
    <tableColumn id="10" name="Waga1" dataDxfId="328" totalsRowDxfId="327" dataCellStyle="Dziesiętny"/>
    <tableColumn id="37" name="Kwota najniższa" dataDxfId="326" totalsRowDxfId="325" dataCellStyle="Walutowy"/>
    <tableColumn id="21" name="koszt powierzchni z widownią_x000a_ do 1 000 osób na dobę1" dataDxfId="324" totalsRowDxfId="323" dataCellStyle="Walutowy"/>
    <tableColumn id="14" name="Simga pkt2" totalsRowFunction="custom" dataDxfId="322" totalsRowDxfId="321" dataCellStyle="Dziesiętny">
      <calculatedColumnFormula>Tabela1[[#This Row],[Kwota najniższa2]]/Tabela1[[#This Row],[koszt powierzchni z widownią
 do 1 000 osób na dobę1]]*Tabela1[[#This Row],[Waga2]]</calculatedColumnFormula>
      <totalsRowFormula>SUM(Tabela1[Simga pkt2])</totalsRowFormula>
    </tableColumn>
    <tableColumn id="3" name="koszt powierzchni z widownią_x000a_ do 1 000 osób na dobę3" dataDxfId="320" totalsRowDxfId="319" dataCellStyle="Walutowy"/>
    <tableColumn id="12" name="STROER pkt2" totalsRowFunction="custom" dataDxfId="318" totalsRowDxfId="317" dataCellStyle="Dziesiętny">
      <calculatedColumnFormula>Tabela1[[#This Row],[Kwota najniższa2]]/Tabela1[[#This Row],[koszt powierzchni z widownią
 do 1 000 osób na dobę3]]*Tabela1[[#This Row],[Waga2]]</calculatedColumnFormula>
      <totalsRowFormula>SUM(Tabela1[STROER pkt2])</totalsRowFormula>
    </tableColumn>
    <tableColumn id="38" name="Waga2" dataDxfId="316" totalsRowDxfId="315" dataCellStyle="Dziesiętny"/>
    <tableColumn id="16" name="Kwota najniższa2" dataDxfId="314" totalsRowDxfId="313" dataCellStyle="Walutowy"/>
    <tableColumn id="23" name="koszt powierzchni z widownią _x000a_od 1 000 do 5 000 osób na dobę1" dataDxfId="312" totalsRowDxfId="311" dataCellStyle="Walutowy"/>
    <tableColumn id="18" name="Simga pkt3" totalsRowFunction="custom" dataDxfId="310" totalsRowDxfId="309" dataCellStyle="Dziesiętny">
      <calculatedColumnFormula>Tabela1[[#This Row],[Kwota najniższa3]]/Tabela1[[#This Row],[koszt powierzchni z widownią 
od 1 000 do 5 000 osób na dobę1]]*Tabela1[[#This Row],[Waga3]]</calculatedColumnFormula>
      <totalsRowFormula>SUM(Tabela1[Simga pkt3])</totalsRowFormula>
    </tableColumn>
    <tableColumn id="5" name="koszt powierzchni z widownią _x000a_od 1 000 do 5 000 osób na dobę3" dataDxfId="308" totalsRowDxfId="307" dataCellStyle="Walutowy"/>
    <tableColumn id="22" name="STROER pkt4" totalsRowFunction="custom" dataDxfId="306" totalsRowDxfId="305" dataCellStyle="Dziesiętny">
      <calculatedColumnFormula>Tabela1[[#This Row],[Kwota najniższa3]]/Tabela1[[#This Row],[koszt powierzchni z widownią 
od 1 000 do 5 000 osób na dobę3]]*Tabela1[[#This Row],[Waga3]]</calculatedColumnFormula>
      <totalsRowFormula>SUM(Tabela1[STROER pkt4])</totalsRowFormula>
    </tableColumn>
    <tableColumn id="39" name="Waga3" dataDxfId="304" totalsRowDxfId="303" dataCellStyle="Dziesiętny"/>
    <tableColumn id="27" name="Kwota najniższa3" dataDxfId="302" totalsRowDxfId="301" dataCellStyle="Walutowy"/>
    <tableColumn id="25" name="koszt powierzchni z widownią_x000a_ od 5 000 do 10 000 osób na dobę1" dataDxfId="300" totalsRowDxfId="299" dataCellStyle="Walutowy"/>
    <tableColumn id="45" name="Simga pkt4" totalsRowFunction="custom" dataDxfId="298" totalsRowDxfId="297" dataCellStyle="Dziesiętny">
      <calculatedColumnFormula>Tabela1[[#This Row],[Kwota najniższa4]]/Tabela1[[#This Row],[koszt powierzchni z widownią
 od 5 000 do 10 000 osób na dobę1]]*Tabela1[[#This Row],[Waga4]]</calculatedColumnFormula>
      <totalsRowFormula>SUM(Tabela1[Simga pkt4])</totalsRowFormula>
    </tableColumn>
    <tableColumn id="7" name="koszt powierzchni z widownią_x000a_ od 5 000 do 10 000 osób na dobę3" dataDxfId="296" totalsRowDxfId="295" dataCellStyle="Walutowy"/>
    <tableColumn id="46" name="STROER pkt42" totalsRowFunction="custom" dataDxfId="294" totalsRowDxfId="293" dataCellStyle="Dziesiętny">
      <calculatedColumnFormula>Tabela1[[#This Row],[Kwota najniższa4]]/Tabela1[[#This Row],[koszt powierzchni z widownią
 od 5 000 do 10 000 osób na dobę3]]*Tabela1[[#This Row],[Waga4]]</calculatedColumnFormula>
      <totalsRowFormula>SUM(Tabela1[STROER pkt42])</totalsRowFormula>
    </tableColumn>
    <tableColumn id="40" name="Waga4" dataDxfId="292" totalsRowDxfId="291" dataCellStyle="Dziesiętny"/>
    <tableColumn id="47" name="Kwota najniższa4" dataDxfId="290" totalsRowDxfId="289" dataCellStyle="Walutowy"/>
    <tableColumn id="30" name="koszt powierzchni z widownią_x000a_ od 10 000 do 20 000 osób na dobę1" dataDxfId="288" totalsRowDxfId="287" dataCellStyle="Walutowy"/>
    <tableColumn id="48" name="Simga pkt5" totalsRowFunction="custom" dataDxfId="286" totalsRowDxfId="285" dataCellStyle="Dziesiętny">
      <calculatedColumnFormula>Tabela1[[#This Row],[Kwota najniższa5]]/Tabela1[[#This Row],[koszt powierzchni z widownią
 od 10 000 do 20 000 osób na dobę1]]*Tabela1[[#This Row],[Waga5]]</calculatedColumnFormula>
      <totalsRowFormula>SUM(Tabela1[Simga pkt5])</totalsRowFormula>
    </tableColumn>
    <tableColumn id="9" name="koszt powierzchni z widownią_x000a_ od 10 000 do 20 000 osób na dobę3" dataDxfId="284" totalsRowDxfId="283" dataCellStyle="Walutowy"/>
    <tableColumn id="54" name="STROER pkt5" totalsRowFunction="custom" dataDxfId="282" totalsRowDxfId="281" dataCellStyle="Dziesiętny">
      <calculatedColumnFormula>Tabela1[[#This Row],[Kwota najniższa5]]/Tabela1[[#This Row],[koszt powierzchni z widownią
 od 10 000 do 20 000 osób na dobę3]]*Tabela1[[#This Row],[Waga5]]</calculatedColumnFormula>
      <totalsRowFormula>SUM(Tabela1[STROER pkt5])</totalsRowFormula>
    </tableColumn>
    <tableColumn id="41" name="Waga5" dataDxfId="280" totalsRowDxfId="279" dataCellStyle="Dziesiętny"/>
    <tableColumn id="53" name="Kwota najniższa5" dataDxfId="278" totalsRowDxfId="277" dataCellStyle="Walutowy"/>
    <tableColumn id="32" name="koszt powierzchni z widownią_x000a_od 30 000 do 50 000 osób na dobę1" dataDxfId="276" totalsRowDxfId="275" dataCellStyle="Walutowy"/>
    <tableColumn id="55" name="koszt powierzchni z widownią_x000a_od 30 000 do 50 000 osób na dobę2" totalsRowFunction="custom" dataDxfId="274" totalsRowDxfId="273" dataCellStyle="Dziesiętny">
      <calculatedColumnFormula>Tabela1[[#This Row],[średnia - 30%62]]/Tabela1[[#This Row],[koszt powierzchni z widownią
od 30 000 do 50 000 osób na dobę1]]*Tabela1[[#This Row],[Waga6]]</calculatedColumnFormula>
      <totalsRowFormula>SUM(AG4:AG9)</totalsRowFormula>
    </tableColumn>
    <tableColumn id="11" name="koszt powierzchni z widownią_x000a_od 20 000 do 30 000 osób na dobę32" dataDxfId="272" totalsRowDxfId="271" dataCellStyle="Walutowy"/>
    <tableColumn id="57" name="koszt powierzchni z widownią_x000a_od 20 000 do 30 000 osób na dobę33" totalsRowFunction="custom" dataDxfId="270" totalsRowDxfId="269" dataCellStyle="Dziesiętny">
      <calculatedColumnFormula>Tabela1[[#This Row],[średnia - 30%62]]/Tabela1[[#This Row],[koszt powierzchni z widownią
od 20 000 do 30 000 osób na dobę32]]*Tabela1[[#This Row],[Waga6]]</calculatedColumnFormula>
      <totalsRowFormula>SUM(Tabela1[koszt powierzchni z widownią
od 20 000 do 30 000 osób na dobę33])</totalsRowFormula>
    </tableColumn>
    <tableColumn id="42" name="Waga6" dataDxfId="268" totalsRowDxfId="267" dataCellStyle="Dziesiętny"/>
    <tableColumn id="58" name="średnia - 30%62" dataDxfId="266" totalsRowDxfId="265" dataCellStyle="Walutowy"/>
    <tableColumn id="34" name="koszt powierzchni z widownią_x000a_od 30 000 do 50 000 osób na dobę12" dataDxfId="264" totalsRowDxfId="263" dataCellStyle="Walutowy"/>
    <tableColumn id="59" name="koszt powierzchni z widownią_x000a_od 30 000 do 50 000 osób na dobę13" totalsRowFunction="custom" dataDxfId="262" totalsRowDxfId="261" dataCellStyle="Dziesiętny">
      <calculatedColumnFormula>Tabela1[[#This Row],[średnia - 30%72]]/Tabela1[[#This Row],[koszt powierzchni z widownią
od 30 000 do 50 000 osób na dobę12]]*Tabela1[[#This Row],[Waga7]]</calculatedColumnFormula>
      <totalsRowFormula>SUM(Tabela1[koszt powierzchni z widownią
od 30 000 do 50 000 osób na dobę13])</totalsRowFormula>
    </tableColumn>
    <tableColumn id="13" name="koszt powierzchni z widownią_x000a_od 30 000 do 50 000 osób na dobę3" dataDxfId="260" totalsRowDxfId="259" dataCellStyle="Walutowy"/>
    <tableColumn id="60" name="koszt powierzchni z widownią_x000a_od 30 000 do 50 000 osób na dobę4" totalsRowFunction="custom" dataDxfId="258" totalsRowDxfId="257" dataCellStyle="Dziesiętny">
      <calculatedColumnFormula>Tabela1[[#This Row],[średnia - 30%72]]/Tabela1[[#This Row],[koszt powierzchni z widownią
od 30 000 do 50 000 osób na dobę3]]*Tabela1[[#This Row],[Waga7]]</calculatedColumnFormula>
      <totalsRowFormula>SUM(Tabela1[koszt powierzchni z widownią
od 30 000 do 50 000 osób na dobę4])</totalsRowFormula>
    </tableColumn>
    <tableColumn id="43" name="Waga7" dataDxfId="256" totalsRowDxfId="255" dataCellStyle="Dziesiętny"/>
    <tableColumn id="61" name="średnia - 30%72" dataDxfId="254" totalsRowDxfId="253" dataCellStyle="Walutowy"/>
    <tableColumn id="36" name="koszt powierzchni z widownią_x000a_powyżej 50 000 osób na dobę1" dataDxfId="252" totalsRowDxfId="251" dataCellStyle="Walutowy"/>
    <tableColumn id="62" name="koszt powierzchni z widownią_x000a_powyżej 50 000 osób na dobę2" totalsRowFunction="custom" dataDxfId="250" totalsRowDxfId="249" dataCellStyle="Dziesiętny">
      <calculatedColumnFormula>Tabela1[[#This Row],[koszt powierzchni z widownią
powyżej 50 000 osób na dobę1]]/Tabela1[[#This Row],[Waga9]]*Tabela1[[#This Row],[Waga8]]</calculatedColumnFormula>
      <totalsRowFormula>SUM(Tabela1[koszt powierzchni z widownią
powyżej 50 000 osób na dobę2])</totalsRowFormula>
    </tableColumn>
    <tableColumn id="15" name="koszt powierzchni z widownią_x000a_powyżej 50 000 osób na dobę3" dataDxfId="248" totalsRowDxfId="247" dataCellStyle="Walutowy"/>
    <tableColumn id="63" name="koszt powierzchni z widownią_x000a_powyżej 50 000 osób na dobę4" totalsRowFunction="custom" dataDxfId="246" totalsRowDxfId="245" dataCellStyle="Dziesiętny">
      <calculatedColumnFormula>Tabela1[[#This Row],[Waga9]]/Tabela1[[#This Row],[koszt powierzchni z widownią
powyżej 50 000 osób na dobę3]]*Tabela1[[#This Row],[Waga8]]</calculatedColumnFormula>
      <totalsRowFormula>SUM(Tabela1[koszt powierzchni z widownią
powyżej 50 000 osób na dobę4])</totalsRowFormula>
    </tableColumn>
    <tableColumn id="44" name="Waga8" dataDxfId="244" totalsRowDxfId="243" dataCellStyle="Dziesiętny"/>
    <tableColumn id="64" name="Waga9" dataDxfId="242" totalsRowDxfId="241" dataCellStyle="Walutowy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AQ3" totalsRowShown="0" headerRowDxfId="240" dataDxfId="239">
  <autoFilter ref="A2:AQ3"/>
  <tableColumns count="43">
    <tableColumn id="1" name="1" dataDxfId="238"/>
    <tableColumn id="18" name="koszt druku1" dataDxfId="237" dataCellStyle="Walutowy"/>
    <tableColumn id="6" name="Simga pkt" dataDxfId="236" dataCellStyle="Dziesiętny">
      <calculatedColumnFormula>Tabela13[Kwota najniższa]/Tabela13[koszt druku1]*Tabela13[Waga]</calculatedColumnFormula>
    </tableColumn>
    <tableColumn id="2" name="koszt druku3" dataDxfId="235" dataCellStyle="Walutowy"/>
    <tableColumn id="8" name="Stroer pkt" dataDxfId="234" dataCellStyle="Dziesiętny">
      <calculatedColumnFormula>Tabela13[Kwota najniższa]/Tabela13[koszt druku3]*Tabela13[Waga]</calculatedColumnFormula>
    </tableColumn>
    <tableColumn id="24" name="Waga" dataDxfId="233" dataCellStyle="Dziesiętny"/>
    <tableColumn id="9" name="Kwota najniższa" dataDxfId="232" dataCellStyle="Walutowy"/>
    <tableColumn id="19" name="koszt powierzchni z widownią_x000a_ do 1 000 osób na dobę1" dataDxfId="231" dataCellStyle="Walutowy"/>
    <tableColumn id="10" name="Simga pkt2" dataDxfId="230" dataCellStyle="Dziesiętny">
      <calculatedColumnFormula>Tabela13[Kwota najniższa3]/Tabela13[koszt powierzchni z widownią
 do 1 000 osób na dobę1]*Tabela13[Waga2]</calculatedColumnFormula>
    </tableColumn>
    <tableColumn id="3" name="koszt powierzchni z widownią_x000a_ do 1 000 osób na dobę3" dataDxfId="229" dataCellStyle="Walutowy"/>
    <tableColumn id="12" name="Stroer pkt2" dataDxfId="228" dataCellStyle="Dziesiętny">
      <calculatedColumnFormula>Tabela13[Kwota najniższa3]/Tabela13[koszt powierzchni z widownią
 do 1 000 osób na dobę3]*Tabela13[Waga2]</calculatedColumnFormula>
    </tableColumn>
    <tableColumn id="23" name="Waga2" dataDxfId="227" dataCellStyle="Dziesiętny"/>
    <tableColumn id="13" name="Kwota najniższa3" dataDxfId="226" dataCellStyle="Walutowy"/>
    <tableColumn id="5" name="koszt powierzchni z widownią _x000a_od 1 000 do 5 000 osób na dobę1" dataDxfId="225" dataCellStyle="Walutowy"/>
    <tableColumn id="14" name="Simga pkt3" dataDxfId="224" dataCellStyle="Dziesiętny">
      <calculatedColumnFormula>Tabela13[Kwota najniższa4]/Tabela13[koszt powierzchni z widownią 
od 1 000 do 5 000 osób na dobę1]*Tabela13[Waga3]</calculatedColumnFormula>
    </tableColumn>
    <tableColumn id="26" name="koszt powierzchni z widownią _x000a_od 1 000 do 5 000 osób na dobę3" dataDxfId="223" dataCellStyle="Walutowy"/>
    <tableColumn id="15" name="Stroer pkt3" dataDxfId="222" dataCellStyle="Dziesiętny">
      <calculatedColumnFormula>Tabela13[Kwota najniższa4]/Tabela13[koszt powierzchni z widownią 
od 1 000 do 5 000 osób na dobę3]*Tabela13[Waga3]</calculatedColumnFormula>
    </tableColumn>
    <tableColumn id="25" name="Waga3" dataDxfId="221" dataCellStyle="Dziesiętny"/>
    <tableColumn id="16" name="Kwota najniższa4" dataDxfId="220" dataCellStyle="Walutowy"/>
    <tableColumn id="28" name="koszt powierzchni z widownią_x000a_ od 5 000 do 10 000 osób na dobę" dataDxfId="219" dataCellStyle="Walutowy"/>
    <tableColumn id="17" name="Simga pkt4" dataDxfId="218" dataCellStyle="Dziesiętny">
      <calculatedColumnFormula>Tabela13[Kwota najniższa5]/Tabela13[koszt powierzchni z widownią
 od 5 000 do 10 000 osób na dobę]*Tabela13[Waga4]</calculatedColumnFormula>
    </tableColumn>
    <tableColumn id="7" name="koszt powierzchni z widownią_x000a_ od 5 000 do 10 000 osób na dobę3" dataDxfId="217"/>
    <tableColumn id="20" name="Stroer pkt4" dataDxfId="216" dataCellStyle="Dziesiętny">
      <calculatedColumnFormula>Tabela13[Kwota najniższa5]/Tabela13[koszt powierzchni z widownią
 od 5 000 do 10 000 osób na dobę3]*Tabela13[Waga4]</calculatedColumnFormula>
    </tableColumn>
    <tableColumn id="30" name="Waga4" dataDxfId="215" dataCellStyle="Dziesiętny"/>
    <tableColumn id="21" name="Kwota najniższa5" dataDxfId="214" dataCellStyle="Walutowy"/>
    <tableColumn id="32" name="koszt powierzchni z widownią_x000a_ od 10 000 do 15 000 osób na dobę1" dataDxfId="213" dataCellStyle="Walutowy"/>
    <tableColumn id="27" name="Simga pkt5" dataDxfId="212" dataCellStyle="Dziesiętny">
      <calculatedColumnFormula>Tabela13[Kwota najniższa6]/Tabela13[koszt powierzchni z widownią
 od 10 000 do 15 000 osób na dobę1]*Tabela13[Waga5]</calculatedColumnFormula>
    </tableColumn>
    <tableColumn id="31" name="koszt powierzchni z widownią_x000a_ od 10 000 do 15 000 osób na dobę3" dataDxfId="211"/>
    <tableColumn id="29" name="Stroer pkt5" dataDxfId="210" dataCellStyle="Dziesiętny">
      <calculatedColumnFormula>Tabela13[Kwota najniższa6]/Tabela13[koszt powierzchni z widownią
 od 10 000 do 15 000 osób na dobę3]*Tabela13[Waga5]</calculatedColumnFormula>
    </tableColumn>
    <tableColumn id="33" name="Waga5" dataDxfId="209" dataCellStyle="Dziesiętny"/>
    <tableColumn id="36" name="Kwota najniższa6" dataDxfId="208" dataCellStyle="Walutowy"/>
    <tableColumn id="37" name="koszt powierzchni z widownią_x000a_od 15 000 do 25 000 osób na dobę" dataDxfId="207" dataCellStyle="Walutowy"/>
    <tableColumn id="38" name="Simga pkt6" dataDxfId="206" dataCellStyle="Dziesiętny">
      <calculatedColumnFormula>Tabela13[Kwota najniższa7]/Tabela13[koszt powierzchni z widownią
od 15 000 do 25 000 osób na dobę]*Tabela13[Waga6]</calculatedColumnFormula>
    </tableColumn>
    <tableColumn id="35" name="koszt powierzchni z widownią_x000a_od 15 000 do 25 000 osób na dobę22" dataDxfId="205" dataCellStyle="Walutowy"/>
    <tableColumn id="39" name="Stroer pkt6" dataDxfId="204" dataCellStyle="Dziesiętny">
      <calculatedColumnFormula>Tabela13[Kwota najniższa7]/Tabela13[koszt powierzchni z widownią
od 15 000 do 25 000 osób na dobę22]*Tabela13[Waga6]</calculatedColumnFormula>
    </tableColumn>
    <tableColumn id="34" name="Waga6" dataDxfId="203" dataCellStyle="Dziesiętny"/>
    <tableColumn id="40" name="Kwota najniższa7" dataDxfId="202" dataCellStyle="Walutowy"/>
    <tableColumn id="11" name="koszt powierzchni z widownią_x000a_powyżej 25 000 osób na dobę" dataDxfId="201" dataCellStyle="Walutowy"/>
    <tableColumn id="41" name="Simga pkt7" dataDxfId="200" dataCellStyle="Dziesiętny">
      <calculatedColumnFormula>Tabela13[Kwota najniższa2]/Tabela13[koszt powierzchni z widownią
powyżej 25 000 osób na dobę]*Tabela13[Waga7]</calculatedColumnFormula>
    </tableColumn>
    <tableColumn id="43" name="koszt powierzchni z widownią_x000a_powyżej 25 000 osób na dobę22" dataDxfId="199" dataCellStyle="Walutowy"/>
    <tableColumn id="44" name="Stroer pkt7" dataDxfId="198" dataCellStyle="Dziesiętny">
      <calculatedColumnFormula>Tabela13[Kwota najniższa2]/Tabela13[koszt powierzchni z widownią
powyżej 25 000 osób na dobę22]*Tabela13[Waga7]</calculatedColumnFormula>
    </tableColumn>
    <tableColumn id="42" name="Waga7" dataDxfId="197" dataCellStyle="Dziesiętny"/>
    <tableColumn id="45" name="Kwota najniższa2" dataDxfId="196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3" name="Tabela14" displayName="Tabela14" ref="A2:AE3" totalsRowShown="0" headerRowDxfId="195" dataDxfId="194">
  <autoFilter ref="A2:AE3"/>
  <tableColumns count="31">
    <tableColumn id="1" name="Nośnik" dataDxfId="193"/>
    <tableColumn id="3" name="koszt namalowania za m1" dataDxfId="192" dataCellStyle="Walutowy"/>
    <tableColumn id="4" name="SIMGA pkt" dataDxfId="191" dataCellStyle="Dziesiętny">
      <calculatedColumnFormula>Tabela14[Najniższa kwota]/Tabela14[koszt namalowania za m1]*Tabela14[Waga]</calculatedColumnFormula>
    </tableColumn>
    <tableColumn id="14" name="koszt namalowania za m3" dataDxfId="190" dataCellStyle="Walutowy"/>
    <tableColumn id="6" name="Stroer pkt" dataDxfId="189" dataCellStyle="Dziesiętny">
      <calculatedColumnFormula>Tabela14[Najniższa kwota]/Tabela14[koszt namalowania za m3]*Tabela14[Waga]</calculatedColumnFormula>
    </tableColumn>
    <tableColumn id="2" name="Waga" dataDxfId="188" dataCellStyle="Dziesiętny"/>
    <tableColumn id="8" name="Najniższa kwota" dataDxfId="187" dataCellStyle="Walutowy">
      <calculatedColumnFormula>Tabela14[koszt namalowania za m1]</calculatedColumnFormula>
    </tableColumn>
    <tableColumn id="5" name="koszt powierzchni za m2 z widownią _x000a_od 500 000 do 750 000 osób na miesiąc" dataDxfId="186" dataCellStyle="Walutowy"/>
    <tableColumn id="10" name="SIMGA pkt2" dataDxfId="185" dataCellStyle="Dziesiętny">
      <calculatedColumnFormula>Tabela14[Najniższa kwota2]/Tabela14[koszt powierzchni za m2 z widownią 
od 500 000 do 750 000 osób na miesiąc]*Tabela14[Waga2]</calculatedColumnFormula>
    </tableColumn>
    <tableColumn id="17" name="koszt powierzchni za m2 z widownią _x000a_od 500 000 do 750 000 osób na miesiąc3" dataDxfId="184" dataCellStyle="Walutowy"/>
    <tableColumn id="12" name="Stroer pkt2" dataDxfId="183" dataCellStyle="Dziesiętny">
      <calculatedColumnFormula>Tabela14[Najniższa kwota2]/Tabela14[koszt powierzchni za m2 z widownią 
od 500 000 do 750 000 osób na miesiąc3]*Tabela14[Waga2]</calculatedColumnFormula>
    </tableColumn>
    <tableColumn id="16" name="Waga2" dataDxfId="182" dataCellStyle="Dziesiętny"/>
    <tableColumn id="13" name="Najniższa kwota2" dataDxfId="181" dataCellStyle="Walutowy">
      <calculatedColumnFormula>Tabela14[koszt powierzchni za m2 z widownią 
od 500 000 do 750 000 osób na miesiąc]</calculatedColumnFormula>
    </tableColumn>
    <tableColumn id="7" name="koszt powierzchni za m2 z widownią _x000a_ od 750 000 do 1 000 000 osób na miesiąc" dataDxfId="180" dataCellStyle="Walutowy"/>
    <tableColumn id="15" name="SIMGA pkt3" dataDxfId="179" dataCellStyle="Dziesiętny">
      <calculatedColumnFormula>Tabela14[Najniższa kwota3]/Tabela14[koszt powierzchni za m2 z widownią 
 od 750 000 do 1 000 000 osób na miesiąc]*Tabela14[Waga3]</calculatedColumnFormula>
    </tableColumn>
    <tableColumn id="24" name="koszt powierzchni za m2 z widownią _x000a_ od 750 000 do 1 000 000 osób na miesiąc3" dataDxfId="178" dataCellStyle="Walutowy"/>
    <tableColumn id="18" name="Stroer pkt3" dataDxfId="177" dataCellStyle="Dziesiętny">
      <calculatedColumnFormula>Tabela14[Najniższa kwota3]/Tabela14[koszt powierzchni za m2 z widownią 
 od 750 000 do 1 000 000 osób na miesiąc3]*Tabela14[Waga3]</calculatedColumnFormula>
    </tableColumn>
    <tableColumn id="21" name="Waga3" dataDxfId="176" dataCellStyle="Dziesiętny"/>
    <tableColumn id="19" name="Najniższa kwota3" dataDxfId="175" dataCellStyle="Walutowy">
      <calculatedColumnFormula>Tabela14[koszt powierzchni za m2 z widownią 
 od 750 000 do 1 000 000 osób na miesiąc]</calculatedColumnFormula>
    </tableColumn>
    <tableColumn id="9" name="koszt powierzchni za m2 z widownią _x000a_ od 1 000 000 do 1 500 000 osób na miesiąc" dataDxfId="174" dataCellStyle="Walutowy"/>
    <tableColumn id="20" name="SIMGA pkt4" dataDxfId="173" dataCellStyle="Dziesiętny">
      <calculatedColumnFormula>Tabela14[Najniższa kwota4]/Tabela14[koszt powierzchni za m2 z widownią 
 od 1 000 000 do 1 500 000 osób na miesiąc]*Tabela14[Waga4]</calculatedColumnFormula>
    </tableColumn>
    <tableColumn id="26" name="koszt powierzchni za m2 z widownią _x000a_ od 1 000 000 do 1 500 000 osób na miesiąc3" dataDxfId="172" dataCellStyle="Walutowy"/>
    <tableColumn id="22" name="Stroer pkt4" dataDxfId="171" dataCellStyle="Dziesiętny">
      <calculatedColumnFormula>Tabela14[Najniższa kwota4]/Tabela14[koszt powierzchni za m2 z widownią 
 od 1 000 000 do 1 500 000 osób na miesiąc3]*Tabela14[Waga4]</calculatedColumnFormula>
    </tableColumn>
    <tableColumn id="25" name="Waga4" dataDxfId="170" dataCellStyle="Dziesiętny"/>
    <tableColumn id="23" name="Najniższa kwota4" dataDxfId="169" dataCellStyle="Walutowy">
      <calculatedColumnFormula>Tabela14[koszt powierzchni za m2 z widownią 
 od 1 000 000 do 1 500 000 osób na miesiąc]</calculatedColumnFormula>
    </tableColumn>
    <tableColumn id="11" name="koszt powierzchni za m2 z widownią _x000a_powyżej 1 500 000 na miesiąc" dataDxfId="168" dataCellStyle="Walutowy"/>
    <tableColumn id="27" name="SIMGA pkt5" dataDxfId="167" dataCellStyle="Dziesiętny">
      <calculatedColumnFormula>Tabela14[Najniższa kwota5]/Tabela14[koszt powierzchni za m2 z widownią 
powyżej 1 500 000 na miesiąc]*Tabela14[Waga5]</calculatedColumnFormula>
    </tableColumn>
    <tableColumn id="31" name="koszt powierzchni za m2 z widownią _x000a_powyżej 1 500 000 na miesiąc3" dataDxfId="166" dataCellStyle="Walutowy"/>
    <tableColumn id="28" name="Stroer pkt5" dataDxfId="165" dataCellStyle="Dziesiętny">
      <calculatedColumnFormula>Tabela14[Najniższa kwota5]/Tabela14[koszt powierzchni za m2 z widownią 
powyżej 1 500 000 na miesiąc3]*Tabela14[Waga5]</calculatedColumnFormula>
    </tableColumn>
    <tableColumn id="29" name="Waga5" dataDxfId="164" dataCellStyle="Dziesiętny"/>
    <tableColumn id="30" name="Najniższa kwota5" dataDxfId="163">
      <calculatedColumnFormula>Tabela14[koszt powierzchni za m2 z widownią 
powyżej 1 500 000 na miesiąc]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4" name="Tabela15" displayName="Tabela15" ref="A2:AK3" totalsRowShown="0" headerRowDxfId="162" dataDxfId="161">
  <autoFilter ref="A2:AK3"/>
  <sortState ref="A3:AM3">
    <sortCondition ref="AD2:AD3"/>
  </sortState>
  <tableColumns count="37">
    <tableColumn id="1" name="Nośnik" dataDxfId="160"/>
    <tableColumn id="3" name="koszt za m2 wydruku" dataDxfId="159" dataCellStyle="Walutowy"/>
    <tableColumn id="2" name="Sigma pkt" dataDxfId="158" dataCellStyle="Dziesiętny">
      <calculatedColumnFormula>Tabela15[Najniższa kwota]/Tabela15[koszt za m2 wydruku]*Tabela15[Waga]</calculatedColumnFormula>
    </tableColumn>
    <tableColumn id="16" name="koszt za m2 wydruku3" dataDxfId="157" dataCellStyle="Walutowy"/>
    <tableColumn id="4" name="Stroer pkt" dataDxfId="156" dataCellStyle="Dziesiętny">
      <calculatedColumnFormula>Tabela15[Najniższa kwota]/Tabela15[koszt za m2 wydruku3]*Tabela15[Waga]</calculatedColumnFormula>
    </tableColumn>
    <tableColumn id="15" name="Waga" dataDxfId="155" dataCellStyle="Dziesiętny"/>
    <tableColumn id="6" name="Najniższa kwota" dataDxfId="154" dataCellStyle="Walutowy">
      <calculatedColumnFormula>Tabela15[koszt za m2 wydruku]</calculatedColumnFormula>
    </tableColumn>
    <tableColumn id="5" name="koszt powierzchni za m2 widownią _x000a_od 500 000 do 750 000 osób na miesiąc" dataDxfId="153" dataCellStyle="Walutowy"/>
    <tableColumn id="8" name="Sigma pkt2" dataDxfId="152" dataCellStyle="Dziesiętny">
      <calculatedColumnFormula>Tabela15[Najniższa kwota3]/Tabela15[koszt powierzchni za m2 widownią 
od 500 000 do 750 000 osób na miesiąc]*Tabela15[Waga2]</calculatedColumnFormula>
    </tableColumn>
    <tableColumn id="20" name="koszt powierzchni za m2 widownią _x000a_od 500 000 do 750 000 osób na miesiąc3" dataDxfId="151" dataCellStyle="Walutowy"/>
    <tableColumn id="10" name="Stroer pkt2" dataDxfId="150" dataCellStyle="Dziesiętny">
      <calculatedColumnFormula>Tabela15[Najniższa kwota3]/Tabela15[koszt powierzchni za m2 widownią 
od 500 000 do 750 000 osób na miesiąc3]*Tabela15[Waga2]</calculatedColumnFormula>
    </tableColumn>
    <tableColumn id="19" name="Waga2" dataDxfId="149" dataCellStyle="Dziesiętny"/>
    <tableColumn id="12" name="Najniższa kwota3" dataDxfId="148" dataCellStyle="Walutowy">
      <calculatedColumnFormula>Tabela15[koszt powierzchni za m2 widownią 
od 500 000 do 750 000 osób na miesiąc]</calculatedColumnFormula>
    </tableColumn>
    <tableColumn id="7" name="koszt powierzchni za m2 widownią _x000a_ od 750 000 do 1 000 000 osób na miesiąc" dataDxfId="147" dataCellStyle="Walutowy"/>
    <tableColumn id="14" name="Sigma pkt3" dataDxfId="146" dataCellStyle="Dziesiętny">
      <calculatedColumnFormula>Tabela15[Najniższa kwota4]/Tabela15[koszt powierzchni za m2 widownią 
 od 750 000 do 1 000 000 osób na miesiąc]*Tabela15[Waga3]</calculatedColumnFormula>
    </tableColumn>
    <tableColumn id="23" name="koszt powierzchni za m2 widownią _x000a_ od 750 000 do 1 000 000 osób na miesiąc3" dataDxfId="145" dataCellStyle="Walutowy"/>
    <tableColumn id="17" name="Stroer pkt3" dataDxfId="144" dataCellStyle="Dziesiętny">
      <calculatedColumnFormula>Tabela15[Najniższa kwota4]/Tabela15[koszt powierzchni za m2 widownią 
 od 750 000 do 1 000 000 osób na miesiąc3]*Tabela15[Waga3]</calculatedColumnFormula>
    </tableColumn>
    <tableColumn id="22" name="Waga3" dataDxfId="143" dataCellStyle="Dziesiętny"/>
    <tableColumn id="18" name="Najniższa kwota4" dataDxfId="142" dataCellStyle="Walutowy">
      <calculatedColumnFormula>Tabela15[koszt powierzchni za m2 widownią 
 od 750 000 do 1 000 000 osób na miesiąc]</calculatedColumnFormula>
    </tableColumn>
    <tableColumn id="9" name="koszt powierzchni za m2 widownią _x000a_ od 1 000 000 do 1 500 000 osób na miesiąc" dataDxfId="141" dataCellStyle="Walutowy"/>
    <tableColumn id="21" name="Sigma pkt4" dataDxfId="140" dataCellStyle="Dziesiętny">
      <calculatedColumnFormula>Tabela15[Najniższa kwota5]/Tabela15[koszt powierzchni za m2 widownią 
 od 1 000 000 do 1 500 000 osób na miesiąc]*Tabela15[Waga4]</calculatedColumnFormula>
    </tableColumn>
    <tableColumn id="26" name="koszt powierzchni za m2 widownią _x000a_ od 1 000 000 do 1 500 000 osób na miesiąc22" dataDxfId="139" dataCellStyle="Walutowy"/>
    <tableColumn id="24" name="Stroer pkt4" dataDxfId="138" dataCellStyle="Dziesiętny">
      <calculatedColumnFormula>Tabela15[Najniższa kwota5]/Tabela15[koszt powierzchni za m2 widownią 
 od 1 000 000 do 1 500 000 osób na miesiąc22]*Tabela15[Waga4]</calculatedColumnFormula>
    </tableColumn>
    <tableColumn id="25" name="Waga4" dataDxfId="137" dataCellStyle="Dziesiętny"/>
    <tableColumn id="27" name="Najniższa kwota5" dataDxfId="136" dataCellStyle="Walutowy">
      <calculatedColumnFormula>Tabela15[koszt powierzchni za m2 widownią 
 od 1 000 000 do 1 500 000 osób na miesiąc]</calculatedColumnFormula>
    </tableColumn>
    <tableColumn id="11" name="koszt powierzchni za m2 widownią _x000a_od 1 500 000 do 2 000 000 osób na miesiąc" dataDxfId="135" dataCellStyle="Walutowy"/>
    <tableColumn id="30" name="Sigma pkt5" dataDxfId="134" dataCellStyle="Dziesiętny">
      <calculatedColumnFormula>Tabela15[Najniższa kwota6]/Tabela15[koszt powierzchni za m2 widownią 
od 1 500 000 do 2 000 000 osób na miesiąc]*Tabela15[Waga5]</calculatedColumnFormula>
    </tableColumn>
    <tableColumn id="29" name="koszt powierzchni za m2 widownią _x000a_od 1 500 000 do 2 000 000 osób na miesiąc22" dataDxfId="133" dataCellStyle="Walutowy"/>
    <tableColumn id="33" name="Stroer pkt5" dataDxfId="132" dataCellStyle="Dziesiętny">
      <calculatedColumnFormula>Tabela15[Najniższa kwota6]/Tabela15[koszt powierzchni za m2 widownią 
od 1 500 000 do 2 000 000 osób na miesiąc22]*Tabela15[Waga5]</calculatedColumnFormula>
    </tableColumn>
    <tableColumn id="28" name="Waga5" dataDxfId="131" dataCellStyle="Dziesiętny"/>
    <tableColumn id="34" name="Najniższa kwota6" dataDxfId="130" dataCellStyle="Walutowy">
      <calculatedColumnFormula>Tabela15[koszt powierzchni za m2 widownią 
od 1 500 000 do 2 000 000 osób na miesiąc]</calculatedColumnFormula>
    </tableColumn>
    <tableColumn id="13" name="koszt powierzchni za m2 widownią _x000a_powyżej 2 000 000 na miesiąc" dataDxfId="129" dataCellStyle="Walutowy"/>
    <tableColumn id="36" name="Sigma pkt6" dataDxfId="128" dataCellStyle="Dziesiętny">
      <calculatedColumnFormula>Tabela15[Najniższa kwota2]/Tabela15[koszt powierzchni za m2 widownią 
powyżej 2 000 000 na miesiąc]*Tabela15[Waga6]</calculatedColumnFormula>
    </tableColumn>
    <tableColumn id="32" name="koszt powierzchni za m2 widownią _x000a_powyżej 2 000 000 na miesiąc3" dataDxfId="127" dataCellStyle="Walutowy"/>
    <tableColumn id="37" name="Stroer pkt6" dataDxfId="126" dataCellStyle="Dziesiętny">
      <calculatedColumnFormula>Tabela15[Najniższa kwota2]/Tabela15[koszt powierzchni za m2 widownią 
powyżej 2 000 000 na miesiąc3]*Tabela15[Waga6]</calculatedColumnFormula>
    </tableColumn>
    <tableColumn id="31" name="Waga6" dataDxfId="125" dataCellStyle="Dziesiętny"/>
    <tableColumn id="38" name="Najniższa kwota2" dataDxfId="124" dataCellStyle="Walutowy">
      <calculatedColumnFormula>Tabela15[koszt powierzchni za m2 widownią 
powyżej 2 000 000 na miesiąc]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Tabela17" displayName="Tabela17" ref="A2:BI6" totalsRowCount="1" headerRowDxfId="123" dataDxfId="122">
  <autoFilter ref="A2:BI5"/>
  <tableColumns count="61">
    <tableColumn id="1" name="Nośnik" dataDxfId="121" totalsRowDxfId="120"/>
    <tableColumn id="2" name="koszt 1 emisji 10 s. na nośniku z widownią do 30 000 osób na miesiąc," dataDxfId="119" totalsRowDxfId="118" dataCellStyle="Walutowy"/>
    <tableColumn id="5" name="Simga pkt" totalsRowFunction="custom" dataDxfId="117" totalsRowDxfId="116" dataCellStyle="Dziesiętny">
      <calculatedColumnFormula>Tabela17[[#This Row],[Najniższa kwota]]/Tabela17[[#This Row],[koszt 1 emisji 10 s. na nośniku z widownią do 30 000 osób na miesiąc,]]*Tabela17[[#This Row],[Waga]]</calculatedColumnFormula>
      <totalsRowFormula>SUM(Tabela17[Simga pkt])</totalsRowFormula>
    </tableColumn>
    <tableColumn id="24" name="koszt 1 emisji 10 s. na nośniku z widownią do 30 000 osób na miesiąc,3" dataDxfId="115" totalsRowDxfId="114" dataCellStyle="Walutowy"/>
    <tableColumn id="7" name="Stroer pkt" totalsRowFunction="custom" dataDxfId="113" totalsRowDxfId="112" dataCellStyle="Dziesiętny">
      <calculatedColumnFormula>Tabela17[[#This Row],[Najniższa kwota]]/Tabela17[[#This Row],[koszt 1 emisji 10 s. na nośniku z widownią do 30 000 osób na miesiąc,3]]*Tabela17[[#This Row],[Waga]]</calculatedColumnFormula>
      <totalsRowFormula>SUM(Tabela17[Stroer pkt])</totalsRowFormula>
    </tableColumn>
    <tableColumn id="25" name="Waga" dataDxfId="111" totalsRowDxfId="110" dataCellStyle="Dziesiętny"/>
    <tableColumn id="9" name="Najniższa kwota" dataDxfId="109" totalsRowDxfId="108" dataCellStyle="Walutowy"/>
    <tableColumn id="3" name="koszt 1 emisji 15 s. na nośniku z widownią do 30 000 osób na miesiąc" dataDxfId="107" totalsRowDxfId="106" dataCellStyle="Walutowy"/>
    <tableColumn id="11" name="Simga pkt2" totalsRowFunction="custom" dataDxfId="105" totalsRowDxfId="104" dataCellStyle="Dziesiętny">
      <calculatedColumnFormula>Tabela17[[#This Row],[Najniższa kwota3]]/Tabela17[[#This Row],[koszt 1 emisji 15 s. na nośniku z widownią do 30 000 osób na miesiąc]]*Tabela17[[#This Row],[Waga2]]</calculatedColumnFormula>
      <totalsRowFormula>SUM(Tabela17[Simga pkt2])</totalsRowFormula>
    </tableColumn>
    <tableColumn id="27" name="koszt 1 emisji 15 s. na nośniku z widownią do 30 000 osób na miesiąc3" dataDxfId="103" totalsRowDxfId="102" dataCellStyle="Walutowy"/>
    <tableColumn id="13" name="Stroer pkt2" totalsRowFunction="custom" dataDxfId="101" totalsRowDxfId="100" dataCellStyle="Dziesiętny">
      <calculatedColumnFormula>Tabela17[[#This Row],[Najniższa kwota3]]/Tabela17[[#This Row],[koszt 1 emisji 15 s. na nośniku z widownią do 30 000 osób na miesiąc3]]*Tabela17[[#This Row],[Waga2]]</calculatedColumnFormula>
      <totalsRowFormula>SUM(Tabela17[Stroer pkt2])</totalsRowFormula>
    </tableColumn>
    <tableColumn id="28" name="Waga2" dataDxfId="99" totalsRowDxfId="98" dataCellStyle="Dziesiętny"/>
    <tableColumn id="15" name="Najniższa kwota3" dataDxfId="97" totalsRowDxfId="96" dataCellStyle="Walutowy"/>
    <tableColumn id="4" name="koszt 1 emisji 10 s. na nośniku z widownią od 30 000 do 45 000 osób na miesiąc" dataDxfId="95" totalsRowDxfId="94" dataCellStyle="Walutowy"/>
    <tableColumn id="16" name="Simga pkt3" totalsRowFunction="custom" dataDxfId="93" totalsRowDxfId="92" dataCellStyle="Dziesiętny">
      <calculatedColumnFormula>Tabela17[[#This Row],[Najniższa kwota4]]/Tabela17[[#This Row],[koszt 1 emisji 10 s. na nośniku z widownią od 30 000 do 45 000 osób na miesiąc]]*Tabela17[[#This Row],[Waga3]]</calculatedColumnFormula>
      <totalsRowFormula>SUM(Tabela17[Simga pkt3])</totalsRowFormula>
    </tableColumn>
    <tableColumn id="29" name="koszt 1 emisji 10 s. na nośniku z widownią od 30 000 do 45 000 osób na miesiąc3" dataDxfId="91" totalsRowDxfId="90" dataCellStyle="Walutowy"/>
    <tableColumn id="17" name="Stroer pkt3" totalsRowFunction="custom" dataDxfId="89" totalsRowDxfId="88" dataCellStyle="Dziesiętny">
      <calculatedColumnFormula>Tabela17[[#This Row],[Najniższa kwota4]]/Tabela17[[#This Row],[koszt 1 emisji 10 s. na nośniku z widownią od 30 000 do 45 000 osób na miesiąc3]]*Tabela17[[#This Row],[Waga3]]</calculatedColumnFormula>
      <totalsRowFormula>SUM(Tabela17[Stroer pkt3])</totalsRowFormula>
    </tableColumn>
    <tableColumn id="30" name="Waga3" dataDxfId="87" totalsRowDxfId="86" dataCellStyle="Dziesiętny"/>
    <tableColumn id="19" name="Najniższa kwota4" dataDxfId="85" totalsRowDxfId="84" dataCellStyle="Walutowy"/>
    <tableColumn id="6" name="koszt 1 emisji 15 s. na nośniku z widownią od 30 000 do 45 000 osób na miesiąc" dataDxfId="83" totalsRowDxfId="82" dataCellStyle="Walutowy"/>
    <tableColumn id="21" name="Simga pkt4" totalsRowFunction="custom" dataDxfId="81" totalsRowDxfId="80" dataCellStyle="Dziesiętny">
      <calculatedColumnFormula>Tabela17[[#This Row],[Najniższa kwota5]]/Tabela17[[#This Row],[koszt 1 emisji 15 s. na nośniku z widownią od 30 000 do 45 000 osób na miesiąc]]*Tabela17[[#This Row],[Waga4]]</calculatedColumnFormula>
      <totalsRowFormula>SUM(Tabela17[Simga pkt4])</totalsRowFormula>
    </tableColumn>
    <tableColumn id="33" name="koszt 1 emisji 15 s. na nośniku z widownią od 30 000 do 45 000 osób na miesiąc3" dataDxfId="79" totalsRowDxfId="78" dataCellStyle="Walutowy"/>
    <tableColumn id="22" name="Stroer pkt4" totalsRowFunction="custom" dataDxfId="77" totalsRowDxfId="76" dataCellStyle="Dziesiętny">
      <calculatedColumnFormula>Tabela17[[#This Row],[Najniższa kwota5]]/Tabela17[[#This Row],[koszt 1 emisji 15 s. na nośniku z widownią od 30 000 do 45 000 osób na miesiąc3]]*Tabela17[[#This Row],[Waga4]]</calculatedColumnFormula>
      <totalsRowFormula>SUM(Tabela17[Stroer pkt4])</totalsRowFormula>
    </tableColumn>
    <tableColumn id="32" name="Waga4" dataDxfId="75" totalsRowDxfId="74" dataCellStyle="Dziesiętny"/>
    <tableColumn id="23" name="Najniższa kwota5" dataDxfId="73" totalsRowDxfId="72" dataCellStyle="Walutowy"/>
    <tableColumn id="8" name="koszt 1 emisji 10 s. na nośniku z widownią od 45 000 do 60 000 osób na miesiąc" dataDxfId="71" totalsRowDxfId="70" dataCellStyle="Walutowy"/>
    <tableColumn id="26" name="Simga pkt5" totalsRowFunction="custom" dataDxfId="69" totalsRowDxfId="68" dataCellStyle="Dziesiętny">
      <calculatedColumnFormula>Tabela17[[#This Row],[Najniższa kwota6]]/Tabela17[[#This Row],[koszt 1 emisji 10 s. na nośniku z widownią od 45 000 do 60 000 osób na miesiąc]]*Tabela17[[#This Row],[Waga5]]</calculatedColumnFormula>
      <totalsRowFormula>SUM(Tabela17[Simga pkt5])</totalsRowFormula>
    </tableColumn>
    <tableColumn id="37" name="koszt 1 emisji 10 s. na nośniku z widownią od 45 000 do 60 000 osób na miesiąc3" dataDxfId="67" totalsRowDxfId="66" dataCellStyle="Walutowy"/>
    <tableColumn id="31" name="Stroer pkt5" totalsRowFunction="custom" dataDxfId="65" totalsRowDxfId="64" dataCellStyle="Dziesiętny">
      <calculatedColumnFormula>Tabela17[[#This Row],[Najniższa kwota6]]/Tabela17[[#This Row],[koszt 1 emisji 10 s. na nośniku z widownią od 45 000 do 60 000 osób na miesiąc3]]*Tabela17[[#This Row],[Waga5]]</calculatedColumnFormula>
      <totalsRowFormula>SUM(Tabela17[Stroer pkt5])</totalsRowFormula>
    </tableColumn>
    <tableColumn id="36" name="Waga5" dataDxfId="63" totalsRowDxfId="62" dataCellStyle="Dziesiętny"/>
    <tableColumn id="34" name="Najniższa kwota6" dataDxfId="61" totalsRowDxfId="60" dataCellStyle="Walutowy"/>
    <tableColumn id="10" name="koszt 1 emisji 15 s. na nośniku z widownią od 45 000 do 60 000 osób na miesiąc" dataDxfId="59" totalsRowDxfId="58" dataCellStyle="Walutowy"/>
    <tableColumn id="35" name="Simga pkt6" totalsRowFunction="custom" dataDxfId="57" totalsRowDxfId="56" dataCellStyle="Dziesiętny">
      <calculatedColumnFormula>Tabela17[[#This Row],[Najniższa kwota7]]/Tabela17[[#This Row],[koszt 1 emisji 15 s. na nośniku z widownią od 45 000 do 60 000 osób na miesiąc]]*Tabela17[[#This Row],[Waga6]]</calculatedColumnFormula>
      <totalsRowFormula>SUM(Tabela17[Simga pkt6])</totalsRowFormula>
    </tableColumn>
    <tableColumn id="40" name="koszt 1 emisji 15 s. na nośniku z widownią od 45 000 do 60 000 osób na miesiąc3" dataDxfId="55" totalsRowDxfId="54" dataCellStyle="Walutowy"/>
    <tableColumn id="38" name="Stroer pkt6" totalsRowFunction="custom" dataDxfId="53" totalsRowDxfId="52" dataCellStyle="Dziesiętny">
      <calculatedColumnFormula>Tabela17[[#This Row],[Najniższa kwota7]]/Tabela17[[#This Row],[koszt 1 emisji 15 s. na nośniku z widownią od 45 000 do 60 000 osób na miesiąc3]]*Tabela17[[#This Row],[Waga6]]</calculatedColumnFormula>
      <totalsRowFormula>SUM(Tabela17[Stroer pkt6])</totalsRowFormula>
    </tableColumn>
    <tableColumn id="39" name="Waga6" dataDxfId="51" totalsRowDxfId="50" dataCellStyle="Dziesiętny"/>
    <tableColumn id="41" name="Najniższa kwota7" dataDxfId="49" totalsRowDxfId="48" dataCellStyle="Walutowy"/>
    <tableColumn id="12" name="koszt 1 emisji 10 s. na nośniku z widownią od 60 000 do 75 000 osób na miesiąc" dataDxfId="47" totalsRowDxfId="46" dataCellStyle="Walutowy"/>
    <tableColumn id="44" name="Simga pkt7" totalsRowFunction="custom" dataDxfId="45" totalsRowDxfId="44" dataCellStyle="Dziesiętny">
      <calculatedColumnFormula>Tabela17[[#This Row],[Najniższa kwota8]]/Tabela17[[#This Row],[koszt 1 emisji 10 s. na nośniku z widownią od 60 000 do 75 000 osób na miesiąc]]*Tabela17[[#This Row],[Waga7]]</calculatedColumnFormula>
      <totalsRowFormula>SUM(Tabela17[Simga pkt7])</totalsRowFormula>
    </tableColumn>
    <tableColumn id="43" name="koszt 1 emisji 10 s. na nośniku z widownią od 60 000 do 75 000 osób na miesiąc3" dataDxfId="43" totalsRowDxfId="42" dataCellStyle="Walutowy"/>
    <tableColumn id="47" name="Stroer pkt7" totalsRowFunction="custom" dataDxfId="41" totalsRowDxfId="40" dataCellStyle="Dziesiętny">
      <calculatedColumnFormula>Tabela17[[#This Row],[Najniższa kwota8]]/Tabela17[[#This Row],[koszt 1 emisji 10 s. na nośniku z widownią od 60 000 do 75 000 osób na miesiąc3]]*Tabela17[[#This Row],[Waga7]]</calculatedColumnFormula>
      <totalsRowFormula>SUM(Tabela17[Stroer pkt7])</totalsRowFormula>
    </tableColumn>
    <tableColumn id="42" name="Waga7" dataDxfId="39" totalsRowDxfId="38" dataCellStyle="Dziesiętny"/>
    <tableColumn id="50" name="Najniższa kwota8" dataDxfId="37" totalsRowDxfId="36" dataCellStyle="Walutowy"/>
    <tableColumn id="14" name="koszt 1 emisji 15 s. na nośniku z widownią od 60 000 do 75 000 osób na miesiąc" dataDxfId="35" totalsRowDxfId="34" dataCellStyle="Walutowy"/>
    <tableColumn id="53" name="Simga pkt8" totalsRowFunction="custom" dataDxfId="33" totalsRowDxfId="32" dataCellStyle="Dziesiętny">
      <calculatedColumnFormula>Tabela17[[#This Row],[Najniższa kwota9]]/Tabela17[[#This Row],[koszt 1 emisji 15 s. na nośniku z widownią od 60 000 do 75 000 osób na miesiąc]]*Tabela17[[#This Row],[Waga8]]</calculatedColumnFormula>
      <totalsRowFormula>SUM(Tabela17[Simga pkt8])</totalsRowFormula>
    </tableColumn>
    <tableColumn id="46" name="koszt 1 emisji 15 s. na nośniku z widownią od 60 000 do 75 000 osób na miesiąc3" dataDxfId="31" totalsRowDxfId="30" dataCellStyle="Walutowy"/>
    <tableColumn id="54" name="Stroer pkt8" totalsRowFunction="custom" dataDxfId="29" totalsRowDxfId="28" dataCellStyle="Dziesiętny">
      <calculatedColumnFormula>Tabela17[[#This Row],[Najniższa kwota9]]/Tabela17[[#This Row],[koszt 1 emisji 15 s. na nośniku z widownią od 60 000 do 75 000 osób na miesiąc3]]*Tabela17[[#This Row],[Waga8]]</calculatedColumnFormula>
      <totalsRowFormula>SUM(Tabela17[Stroer pkt8])</totalsRowFormula>
    </tableColumn>
    <tableColumn id="45" name="Waga8" dataDxfId="27" totalsRowDxfId="26" dataCellStyle="Dziesiętny"/>
    <tableColumn id="55" name="Najniższa kwota9" dataDxfId="25" totalsRowDxfId="24" dataCellStyle="Walutowy"/>
    <tableColumn id="18" name="koszt 1 emisji 10 s. na nośniku z widownią powyżej 75 000 osób na miesiąc." dataDxfId="23" totalsRowDxfId="22" dataCellStyle="Walutowy"/>
    <tableColumn id="56" name="Simga pkt9" totalsRowFunction="custom" dataDxfId="21" totalsRowDxfId="20" dataCellStyle="Dziesiętny">
      <calculatedColumnFormula>Tabela17[[#This Row],[Najniższa kwota10]]/Tabela17[[#This Row],[koszt 1 emisji 10 s. na nośniku z widownią powyżej 75 000 osób na miesiąc.]]*Tabela17[[#This Row],[Waga9]]</calculatedColumnFormula>
      <totalsRowFormula>SUM(Tabela17[Simga pkt9])</totalsRowFormula>
    </tableColumn>
    <tableColumn id="49" name="koszt 1 emisji 10 s. na nośniku z widownią powyżej 75 000 osób na miesiąc.3" dataDxfId="19" totalsRowDxfId="18" dataCellStyle="Walutowy"/>
    <tableColumn id="57" name="Stroer pkt9" totalsRowFunction="custom" dataDxfId="17" totalsRowDxfId="16" dataCellStyle="Dziesiętny">
      <calculatedColumnFormula>Tabela17[[#This Row],[Najniższa kwota10]]/Tabela17[[#This Row],[koszt 1 emisji 10 s. na nośniku z widownią powyżej 75 000 osób na miesiąc.3]]*Tabela17[[#This Row],[Waga9]]</calculatedColumnFormula>
      <totalsRowFormula>SUM(Tabela17[Stroer pkt9])</totalsRowFormula>
    </tableColumn>
    <tableColumn id="48" name="Waga9" dataDxfId="15" totalsRowDxfId="14" dataCellStyle="Dziesiętny"/>
    <tableColumn id="58" name="Najniższa kwota10" dataDxfId="13" totalsRowDxfId="12" dataCellStyle="Walutowy"/>
    <tableColumn id="20" name="koszt 1 emisji 15 s. na nośniku z widownią powyżej 75 000 osób na miesiąc" dataDxfId="11" totalsRowDxfId="10" dataCellStyle="Walutowy"/>
    <tableColumn id="59" name="Simga pkt10" totalsRowFunction="custom" dataDxfId="9" totalsRowDxfId="8" dataCellStyle="Dziesiętny">
      <calculatedColumnFormula>Tabela17[[#This Row],[Najniższa kwota2]]/Tabela17[[#This Row],[koszt 1 emisji 15 s. na nośniku z widownią powyżej 75 000 osób na miesiąc]]*Tabela17[[#This Row],[Waga10]]</calculatedColumnFormula>
      <totalsRowFormula>SUM(Tabela17[Simga pkt10])</totalsRowFormula>
    </tableColumn>
    <tableColumn id="52" name="koszt 1 emisji 15 s. na nośniku z widownią powyżej 75 000 osób na miesiąc3" dataDxfId="7" totalsRowDxfId="6" dataCellStyle="Walutowy"/>
    <tableColumn id="60" name="Stroer pkt10" totalsRowFunction="custom" dataDxfId="5" totalsRowDxfId="4" dataCellStyle="Dziesiętny">
      <calculatedColumnFormula>Tabela17[[#This Row],[Najniższa kwota2]]/Tabela17[[#This Row],[koszt 1 emisji 15 s. na nośniku z widownią powyżej 75 000 osób na miesiąc3]]*Tabela17[[#This Row],[Waga10]]</calculatedColumnFormula>
      <totalsRowFormula>SUM(Tabela17[Stroer pkt10])</totalsRowFormula>
    </tableColumn>
    <tableColumn id="51" name="Waga10" dataDxfId="3" totalsRowDxfId="2" dataCellStyle="Dziesiętny"/>
    <tableColumn id="61" name="Najniższa kwota2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7" sqref="B7"/>
    </sheetView>
  </sheetViews>
  <sheetFormatPr defaultRowHeight="15" x14ac:dyDescent="0.25"/>
  <cols>
    <col min="1" max="1" width="24.28515625" customWidth="1"/>
    <col min="2" max="2" width="16.42578125" customWidth="1"/>
    <col min="3" max="3" width="17.28515625" customWidth="1"/>
  </cols>
  <sheetData>
    <row r="1" spans="1:3" x14ac:dyDescent="0.25">
      <c r="A1" t="s">
        <v>143</v>
      </c>
      <c r="B1" t="s">
        <v>141</v>
      </c>
      <c r="C1" t="s">
        <v>142</v>
      </c>
    </row>
    <row r="2" spans="1:3" x14ac:dyDescent="0.25">
      <c r="A2" t="s">
        <v>144</v>
      </c>
      <c r="B2" s="12">
        <f>Bilbordy!C13</f>
        <v>93.364067351737162</v>
      </c>
      <c r="C2" s="12">
        <f>Bilbordy!C14</f>
        <v>79.706606476871741</v>
      </c>
    </row>
    <row r="3" spans="1:3" x14ac:dyDescent="0.25">
      <c r="A3" t="s">
        <v>137</v>
      </c>
      <c r="B3" s="12">
        <f>'Citylighty '!C5</f>
        <v>100</v>
      </c>
      <c r="C3" s="12">
        <f>'Citylighty '!C6</f>
        <v>76.171657019908125</v>
      </c>
    </row>
    <row r="4" spans="1:3" x14ac:dyDescent="0.25">
      <c r="A4" t="s">
        <v>138</v>
      </c>
      <c r="B4" s="12">
        <f>Murale!C5</f>
        <v>100</v>
      </c>
      <c r="C4" s="12">
        <f>Murale!C6</f>
        <v>40.693628124404007</v>
      </c>
    </row>
    <row r="5" spans="1:3" x14ac:dyDescent="0.25">
      <c r="A5" t="s">
        <v>139</v>
      </c>
      <c r="B5" s="12">
        <f>'Siatki wielkoformatowe'!C5</f>
        <v>100</v>
      </c>
      <c r="C5" s="12">
        <f>'Siatki wielkoformatowe'!C6</f>
        <v>61.821801891488299</v>
      </c>
    </row>
    <row r="6" spans="1:3" x14ac:dyDescent="0.25">
      <c r="A6" t="s">
        <v>140</v>
      </c>
      <c r="B6" s="12">
        <f>DOOH!C9</f>
        <v>20.909128153814333</v>
      </c>
      <c r="C6" s="12">
        <f>DOOH!C10</f>
        <v>99.100649350649348</v>
      </c>
    </row>
    <row r="7" spans="1:3" x14ac:dyDescent="0.25">
      <c r="A7" t="s">
        <v>145</v>
      </c>
      <c r="B7" s="47">
        <f>SUM(B2:B6)</f>
        <v>414.27319550555148</v>
      </c>
      <c r="C7" s="12">
        <f>SUM(C2:C6)</f>
        <v>357.49434286332155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14"/>
  <sheetViews>
    <sheetView topLeftCell="B1" zoomScale="70" zoomScaleNormal="70" workbookViewId="0">
      <selection activeCell="M22" sqref="M22"/>
    </sheetView>
  </sheetViews>
  <sheetFormatPr defaultRowHeight="15" x14ac:dyDescent="0.25"/>
  <cols>
    <col min="1" max="1" width="42.85546875" customWidth="1"/>
    <col min="2" max="49" width="21.42578125" customWidth="1"/>
  </cols>
  <sheetData>
    <row r="2" spans="1:49" s="32" customFormat="1" ht="48" x14ac:dyDescent="0.2">
      <c r="A2" s="27" t="s">
        <v>0</v>
      </c>
      <c r="B2" s="45" t="s">
        <v>36</v>
      </c>
      <c r="C2" s="45" t="s">
        <v>96</v>
      </c>
      <c r="D2" s="31" t="s">
        <v>35</v>
      </c>
      <c r="E2" s="31" t="s">
        <v>97</v>
      </c>
      <c r="F2" s="19" t="s">
        <v>89</v>
      </c>
      <c r="G2" s="19" t="s">
        <v>84</v>
      </c>
      <c r="H2" s="45" t="s">
        <v>38</v>
      </c>
      <c r="I2" s="45" t="s">
        <v>85</v>
      </c>
      <c r="J2" s="31" t="s">
        <v>37</v>
      </c>
      <c r="K2" s="31" t="s">
        <v>86</v>
      </c>
      <c r="L2" s="19" t="s">
        <v>90</v>
      </c>
      <c r="M2" s="19" t="s">
        <v>87</v>
      </c>
      <c r="N2" s="45" t="s">
        <v>49</v>
      </c>
      <c r="O2" s="45" t="s">
        <v>94</v>
      </c>
      <c r="P2" s="31" t="s">
        <v>39</v>
      </c>
      <c r="Q2" s="31" t="s">
        <v>95</v>
      </c>
      <c r="R2" s="19" t="s">
        <v>91</v>
      </c>
      <c r="S2" s="19" t="s">
        <v>88</v>
      </c>
      <c r="T2" s="45" t="s">
        <v>40</v>
      </c>
      <c r="U2" s="45" t="s">
        <v>98</v>
      </c>
      <c r="V2" s="31" t="s">
        <v>41</v>
      </c>
      <c r="W2" s="31" t="s">
        <v>99</v>
      </c>
      <c r="X2" s="19" t="s">
        <v>92</v>
      </c>
      <c r="Y2" s="19" t="s">
        <v>93</v>
      </c>
      <c r="Z2" s="45" t="s">
        <v>43</v>
      </c>
      <c r="AA2" s="45" t="s">
        <v>102</v>
      </c>
      <c r="AB2" s="31" t="s">
        <v>42</v>
      </c>
      <c r="AC2" s="31" t="s">
        <v>103</v>
      </c>
      <c r="AD2" s="19" t="s">
        <v>100</v>
      </c>
      <c r="AE2" s="19" t="s">
        <v>101</v>
      </c>
      <c r="AF2" s="45" t="s">
        <v>46</v>
      </c>
      <c r="AG2" s="45" t="s">
        <v>47</v>
      </c>
      <c r="AH2" s="31" t="s">
        <v>44</v>
      </c>
      <c r="AI2" s="31" t="s">
        <v>104</v>
      </c>
      <c r="AJ2" s="19" t="s">
        <v>110</v>
      </c>
      <c r="AK2" s="19" t="s">
        <v>105</v>
      </c>
      <c r="AL2" s="45" t="s">
        <v>50</v>
      </c>
      <c r="AM2" s="45" t="s">
        <v>106</v>
      </c>
      <c r="AN2" s="31" t="s">
        <v>45</v>
      </c>
      <c r="AO2" s="31" t="s">
        <v>107</v>
      </c>
      <c r="AP2" s="19" t="s">
        <v>111</v>
      </c>
      <c r="AQ2" s="19" t="s">
        <v>108</v>
      </c>
      <c r="AR2" s="45" t="s">
        <v>51</v>
      </c>
      <c r="AS2" s="45" t="s">
        <v>52</v>
      </c>
      <c r="AT2" s="31" t="s">
        <v>48</v>
      </c>
      <c r="AU2" s="31" t="s">
        <v>109</v>
      </c>
      <c r="AV2" s="19" t="s">
        <v>112</v>
      </c>
      <c r="AW2" s="19" t="s">
        <v>113</v>
      </c>
    </row>
    <row r="3" spans="1:49" s="33" customFormat="1" x14ac:dyDescent="0.25">
      <c r="A3" s="46" t="s">
        <v>6</v>
      </c>
      <c r="B3" s="8">
        <v>39</v>
      </c>
      <c r="C3" s="10">
        <f>Tabela1[[#This Row],[Kwota najniższa]]/Tabela1[[#This Row],[koszt druku1]]*Tabela1[[#This Row],[Waga1]]</f>
        <v>0.5</v>
      </c>
      <c r="D3" s="1">
        <v>184.5</v>
      </c>
      <c r="E3" s="5">
        <f>Tabela1[[#This Row],[Kwota najniższa]]/Tabela1[[#This Row],[koszt druku3]]*Tabela1[[#This Row],[Waga1]]</f>
        <v>0.10569105691056911</v>
      </c>
      <c r="F3" s="6">
        <v>0.5</v>
      </c>
      <c r="G3" s="1">
        <f>Tabela1[[#This Row],[koszt druku1]]</f>
        <v>39</v>
      </c>
      <c r="H3" s="1">
        <v>520</v>
      </c>
      <c r="I3" s="5">
        <f>Tabela1[[#This Row],[Kwota najniższa2]]/Tabela1[[#This Row],[koszt powierzchni z widownią
 do 1 000 osób na dobę1]]*Tabela1[[#This Row],[Waga2]]</f>
        <v>3.5</v>
      </c>
      <c r="J3" s="1">
        <v>536.28</v>
      </c>
      <c r="K3" s="5">
        <f>Tabela1[[#This Row],[Kwota najniższa2]]/Tabela1[[#This Row],[koszt powierzchni z widownią
 do 1 000 osób na dobę3]]*Tabela1[[#This Row],[Waga2]]</f>
        <v>3.3937495338256136</v>
      </c>
      <c r="L3" s="6">
        <v>3.5</v>
      </c>
      <c r="M3" s="1">
        <f>Tabela1[[#This Row],[koszt powierzchni z widownią
 do 1 000 osób na dobę1]]</f>
        <v>520</v>
      </c>
      <c r="N3" s="1">
        <v>520</v>
      </c>
      <c r="O3" s="5">
        <f>Tabela1[[#This Row],[Kwota najniższa3]]/Tabela1[[#This Row],[koszt powierzchni z widownią 
od 1 000 do 5 000 osób na dobę1]]*Tabela1[[#This Row],[Waga3]]</f>
        <v>3</v>
      </c>
      <c r="P3" s="1">
        <v>536.28</v>
      </c>
      <c r="Q3" s="5">
        <f>Tabela1[[#This Row],[Kwota najniższa3]]/Tabela1[[#This Row],[koszt powierzchni z widownią 
od 1 000 do 5 000 osób na dobę3]]*Tabela1[[#This Row],[Waga3]]</f>
        <v>2.9089281718505262</v>
      </c>
      <c r="R3" s="6">
        <v>3</v>
      </c>
      <c r="S3" s="1">
        <f>Tabela1[[#This Row],[koszt powierzchni z widownią 
od 1 000 do 5 000 osób na dobę1]]</f>
        <v>520</v>
      </c>
      <c r="T3" s="1">
        <v>2250</v>
      </c>
      <c r="U3" s="5">
        <f>Tabela1[[#This Row],[Kwota najniższa4]]/Tabela1[[#This Row],[koszt powierzchni z widownią
 od 5 000 do 10 000 osób na dobę1]]*Tabela1[[#This Row],[Waga4]]</f>
        <v>0.65053333333333341</v>
      </c>
      <c r="V3" s="8">
        <v>585.48</v>
      </c>
      <c r="W3" s="10">
        <f>Tabela1[[#This Row],[Kwota najniższa4]]/Tabela1[[#This Row],[koszt powierzchni z widownią
 od 5 000 do 10 000 osób na dobę3]]*Tabela1[[#This Row],[Waga4]]</f>
        <v>2.5</v>
      </c>
      <c r="X3" s="6">
        <v>2.5</v>
      </c>
      <c r="Y3" s="1">
        <f>Tabela1[[#This Row],[koszt powierzchni z widownią
 od 5 000 do 10 000 osób na dobę3]]</f>
        <v>585.48</v>
      </c>
      <c r="Z3" s="8">
        <v>2250</v>
      </c>
      <c r="AA3" s="10">
        <f>Tabela1[[#This Row],[Kwota najniższa5]]/Tabela1[[#This Row],[koszt powierzchni z widownią
 od 10 000 do 20 000 osób na dobę1]]*Tabela1[[#This Row],[Waga5]]</f>
        <v>0.56415999999999999</v>
      </c>
      <c r="AB3" s="8">
        <v>634.67999999999995</v>
      </c>
      <c r="AC3" s="10">
        <f>Tabela1[[#This Row],[Kwota najniższa5]]/Tabela1[[#This Row],[koszt powierzchni z widownią
 od 10 000 do 20 000 osób na dobę3]]*Tabela1[[#This Row],[Waga5]]</f>
        <v>2</v>
      </c>
      <c r="AD3" s="7">
        <v>2</v>
      </c>
      <c r="AE3" s="8">
        <f>Tabela1[[#This Row],[koszt powierzchni z widownią
 od 10 000 do 20 000 osób na dobę3]]</f>
        <v>634.67999999999995</v>
      </c>
      <c r="AF3" s="1">
        <v>2350</v>
      </c>
      <c r="AG3" s="10">
        <f>Tabela1[[#This Row],[średnia - 30%62]]/Tabela1[[#This Row],[koszt powierzchni z widownią
od 30 000 do 50 000 osób na dobę1]]*Tabela1[[#This Row],[Waga6]]</f>
        <v>0.45850212765957449</v>
      </c>
      <c r="AH3" s="8">
        <v>718.32</v>
      </c>
      <c r="AI3" s="10">
        <f>Tabela1[[#This Row],[średnia - 30%62]]/Tabela1[[#This Row],[koszt powierzchni z widownią
od 20 000 do 30 000 osób na dobę32]]*Tabela1[[#This Row],[Waga6]]</f>
        <v>1.5</v>
      </c>
      <c r="AJ3" s="7">
        <v>1.5</v>
      </c>
      <c r="AK3" s="8">
        <f>Tabela1[[#This Row],[koszt powierzchni z widownią
od 20 000 do 30 000 osób na dobę32]]</f>
        <v>718.32</v>
      </c>
      <c r="AL3" s="8">
        <v>2350</v>
      </c>
      <c r="AM3" s="10">
        <f>Tabela1[[#This Row],[średnia - 30%72]]/Tabela1[[#This Row],[koszt powierzchni z widownią
od 30 000 do 50 000 osób na dobę12]]*Tabela1[[#This Row],[Waga7]]</f>
        <v>0.53387234042553189</v>
      </c>
      <c r="AN3" s="8">
        <v>1254.5999999999999</v>
      </c>
      <c r="AO3" s="10">
        <f>Tabela1[[#This Row],[średnia - 30%72]]/Tabela1[[#This Row],[koszt powierzchni z widownią
od 30 000 do 50 000 osób na dobę3]]*Tabela1[[#This Row],[Waga7]]</f>
        <v>1</v>
      </c>
      <c r="AP3" s="7">
        <v>1</v>
      </c>
      <c r="AQ3" s="1">
        <f>Tabela1[[#This Row],[koszt powierzchni z widownią
od 30 000 do 50 000 osób na dobę3]]</f>
        <v>1254.5999999999999</v>
      </c>
      <c r="AR3" s="8">
        <v>2500</v>
      </c>
      <c r="AS3" s="10">
        <f>Tabela1[[#This Row],[koszt powierzchni z widownią
powyżej 50 000 osób na dobę1]]/Tabela1[[#This Row],[Waga9]]*Tabela1[[#This Row],[Waga8]]</f>
        <v>0.99633349274669225</v>
      </c>
      <c r="AT3" s="8">
        <v>1254.5999999999999</v>
      </c>
      <c r="AU3" s="10">
        <f>Tabela1[[#This Row],[Waga9]]/Tabela1[[#This Row],[koszt powierzchni z widownią
powyżej 50 000 osób na dobę3]]*Tabela1[[#This Row],[Waga8]]</f>
        <v>0.5</v>
      </c>
      <c r="AV3" s="7">
        <v>0.5</v>
      </c>
      <c r="AW3" s="8">
        <f>Tabela1[[#This Row],[koszt powierzchni z widownią
powyżej 50 000 osób na dobę3]]</f>
        <v>1254.5999999999999</v>
      </c>
    </row>
    <row r="4" spans="1:49" s="33" customFormat="1" ht="15" customHeight="1" x14ac:dyDescent="0.25">
      <c r="A4" s="46" t="s">
        <v>1</v>
      </c>
      <c r="B4" s="8">
        <v>53</v>
      </c>
      <c r="C4" s="10">
        <f>Tabela1[[#This Row],[Kwota najniższa]]/Tabela1[[#This Row],[koszt druku1]]*Tabela1[[#This Row],[Waga1]]</f>
        <v>1</v>
      </c>
      <c r="D4" s="1">
        <v>110.7</v>
      </c>
      <c r="E4" s="5">
        <f>Tabela1[[#This Row],[Kwota najniższa]]/Tabela1[[#This Row],[koszt druku3]]*Tabela1[[#This Row],[Waga1]]</f>
        <v>0.47877145438121049</v>
      </c>
      <c r="F4" s="6">
        <v>1</v>
      </c>
      <c r="G4" s="1">
        <f>Tabela1[[#This Row],[koszt druku1]]</f>
        <v>53</v>
      </c>
      <c r="H4" s="1">
        <v>720</v>
      </c>
      <c r="I4" s="5">
        <f>Tabela1[[#This Row],[Kwota najniższa2]]/Tabela1[[#This Row],[koszt powierzchni z widownią
 do 1 000 osób na dobę1]]*Tabela1[[#This Row],[Waga2]]</f>
        <v>0.37241666666666667</v>
      </c>
      <c r="J4" s="1">
        <v>536.28</v>
      </c>
      <c r="K4" s="5">
        <f>Tabela1[[#This Row],[Kwota najniższa2]]/Tabela1[[#This Row],[koszt powierzchni z widownią
 do 1 000 osób na dobę3]]*Tabela1[[#This Row],[Waga2]]</f>
        <v>0.5</v>
      </c>
      <c r="L4" s="6">
        <v>0.5</v>
      </c>
      <c r="M4" s="1">
        <f>Tabela1[[#This Row],[koszt powierzchni z widownią
 do 1 000 osób na dobę3]]</f>
        <v>536.28</v>
      </c>
      <c r="N4" s="1">
        <v>720</v>
      </c>
      <c r="O4" s="5">
        <f>Tabela1[[#This Row],[Kwota najniższa3]]/Tabela1[[#This Row],[koszt powierzchni z widownią 
od 1 000 do 5 000 osób na dobę1]]*Tabela1[[#This Row],[Waga3]]</f>
        <v>0.74483333333333335</v>
      </c>
      <c r="P4" s="1">
        <v>536.28</v>
      </c>
      <c r="Q4" s="5">
        <f>Tabela1[[#This Row],[Kwota najniższa3]]/Tabela1[[#This Row],[koszt powierzchni z widownią 
od 1 000 do 5 000 osób na dobę3]]*Tabela1[[#This Row],[Waga3]]</f>
        <v>1</v>
      </c>
      <c r="R4" s="6">
        <v>1</v>
      </c>
      <c r="S4" s="1">
        <f>Tabela1[[#This Row],[koszt powierzchni z widownią 
od 1 000 do 5 000 osób na dobę3]]</f>
        <v>536.28</v>
      </c>
      <c r="T4" s="1">
        <v>780</v>
      </c>
      <c r="U4" s="5">
        <f>Tabela1[[#This Row],[Kwota najniższa4]]/Tabela1[[#This Row],[koszt powierzchni z widownią
 od 5 000 do 10 000 osób na dobę1]]*Tabela1[[#This Row],[Waga4]]</f>
        <v>1.125923076923077</v>
      </c>
      <c r="V4" s="8">
        <v>585.48</v>
      </c>
      <c r="W4" s="10">
        <f>Tabela1[[#This Row],[Kwota najniższa4]]/Tabela1[[#This Row],[koszt powierzchni z widownią
 od 5 000 do 10 000 osób na dobę3]]*Tabela1[[#This Row],[Waga4]]</f>
        <v>1.5</v>
      </c>
      <c r="X4" s="6">
        <v>1.5</v>
      </c>
      <c r="Y4" s="1">
        <f>Tabela1[[#This Row],[koszt powierzchni z widownią
 od 5 000 do 10 000 osób na dobę3]]</f>
        <v>585.48</v>
      </c>
      <c r="Z4" s="8">
        <v>780</v>
      </c>
      <c r="AA4" s="10">
        <f>Tabela1[[#This Row],[Kwota najniższa5]]/Tabela1[[#This Row],[koszt powierzchni z widownią
 od 10 000 do 20 000 osób na dobę1]]*Tabela1[[#This Row],[Waga5]]</f>
        <v>1.6273846153846152</v>
      </c>
      <c r="AB4" s="8">
        <v>634.67999999999995</v>
      </c>
      <c r="AC4" s="10">
        <f>Tabela1[[#This Row],[Kwota najniższa5]]/Tabela1[[#This Row],[koszt powierzchni z widownią
 od 10 000 do 20 000 osób na dobę3]]*Tabela1[[#This Row],[Waga5]]</f>
        <v>2</v>
      </c>
      <c r="AD4" s="7">
        <v>2</v>
      </c>
      <c r="AE4" s="8">
        <f>Tabela1[[#This Row],[koszt powierzchni z widownią
 od 10 000 do 20 000 osób na dobę3]]</f>
        <v>634.67999999999995</v>
      </c>
      <c r="AF4" s="1">
        <v>780</v>
      </c>
      <c r="AG4" s="10">
        <f>Tabela1[[#This Row],[średnia - 30%62]]/Tabela1[[#This Row],[koszt powierzchni z widownią
od 30 000 do 50 000 osób na dobę1]]*Tabela1[[#This Row],[Waga6]]</f>
        <v>2.3023076923076924</v>
      </c>
      <c r="AH4" s="8">
        <v>718.32</v>
      </c>
      <c r="AI4" s="10">
        <f>Tabela1[[#This Row],[średnia - 30%62]]/Tabela1[[#This Row],[koszt powierzchni z widownią
od 20 000 do 30 000 osób na dobę32]]*Tabela1[[#This Row],[Waga6]]</f>
        <v>2.5</v>
      </c>
      <c r="AJ4" s="7">
        <v>2.5</v>
      </c>
      <c r="AK4" s="8">
        <f>Tabela1[[#This Row],[koszt powierzchni z widownią
od 20 000 do 30 000 osób na dobę32]]</f>
        <v>718.32</v>
      </c>
      <c r="AL4" s="8">
        <v>1990</v>
      </c>
      <c r="AM4" s="10">
        <f>Tabela1[[#This Row],[średnia - 30%72]]/Tabela1[[#This Row],[koszt powierzchni z widownią
od 30 000 do 50 000 osób na dobę12]]*Tabela1[[#This Row],[Waga7]]</f>
        <v>1.8913567839195979</v>
      </c>
      <c r="AN4" s="8">
        <v>1254.5999999999999</v>
      </c>
      <c r="AO4" s="10">
        <f>Tabela1[[#This Row],[średnia - 30%72]]/Tabela1[[#This Row],[koszt powierzchni z widownią
od 30 000 do 50 000 osób na dobę3]]*Tabela1[[#This Row],[Waga7]]</f>
        <v>3</v>
      </c>
      <c r="AP4" s="7">
        <v>3</v>
      </c>
      <c r="AQ4" s="1">
        <f>Tabela1[[#This Row],[koszt powierzchni z widownią
od 30 000 do 50 000 osób na dobę3]]</f>
        <v>1254.5999999999999</v>
      </c>
      <c r="AR4" s="8">
        <v>1990</v>
      </c>
      <c r="AS4" s="10">
        <f>Tabela1[[#This Row],[koszt powierzchni z widownią
powyżej 50 000 osób na dobę1]]/Tabela1[[#This Row],[Waga9]]*Tabela1[[#This Row],[Waga8]]</f>
        <v>3.9654073011318354</v>
      </c>
      <c r="AT4" s="8">
        <v>1254.5999999999999</v>
      </c>
      <c r="AU4" s="10">
        <f>Tabela1[[#This Row],[Waga9]]/Tabela1[[#This Row],[koszt powierzchni z widownią
powyżej 50 000 osób na dobę3]]*Tabela1[[#This Row],[Waga8]]</f>
        <v>2.5</v>
      </c>
      <c r="AV4" s="7">
        <v>2.5</v>
      </c>
      <c r="AW4" s="8">
        <f>Tabela1[[#This Row],[koszt powierzchni z widownią
powyżej 50 000 osób na dobę3]]</f>
        <v>1254.5999999999999</v>
      </c>
    </row>
    <row r="5" spans="1:49" s="33" customFormat="1" ht="15.75" customHeight="1" x14ac:dyDescent="0.25">
      <c r="A5" s="46" t="s">
        <v>2</v>
      </c>
      <c r="B5" s="8">
        <v>53</v>
      </c>
      <c r="C5" s="10">
        <f>Tabela1[[#This Row],[Kwota najniższa]]/Tabela1[[#This Row],[koszt druku1]]*Tabela1[[#This Row],[Waga1]]</f>
        <v>1</v>
      </c>
      <c r="D5" s="1">
        <v>110.7</v>
      </c>
      <c r="E5" s="5">
        <f>Tabela1[[#This Row],[Kwota najniższa]]/Tabela1[[#This Row],[koszt druku3]]*Tabela1[[#This Row],[Waga1]]</f>
        <v>0.47877145438121049</v>
      </c>
      <c r="F5" s="6">
        <v>1</v>
      </c>
      <c r="G5" s="1">
        <f>Tabela1[[#This Row],[koszt druku1]]</f>
        <v>53</v>
      </c>
      <c r="H5" s="1">
        <v>720</v>
      </c>
      <c r="I5" s="5">
        <f>Tabela1[[#This Row],[Kwota najniższa2]]/Tabela1[[#This Row],[koszt powierzchni z widownią
 do 1 000 osób na dobę1]]*Tabela1[[#This Row],[Waga2]]</f>
        <v>0.39568749999999997</v>
      </c>
      <c r="J5" s="1">
        <v>569.79</v>
      </c>
      <c r="K5" s="5">
        <f>Tabela1[[#This Row],[Kwota najniższa2]]/Tabela1[[#This Row],[koszt powierzchni z widownią
 do 1 000 osób na dobę3]]*Tabela1[[#This Row],[Waga2]]</f>
        <v>0.5</v>
      </c>
      <c r="L5" s="6">
        <v>0.5</v>
      </c>
      <c r="M5" s="1">
        <f>Tabela1[[#This Row],[koszt powierzchni z widownią
 do 1 000 osób na dobę3]]</f>
        <v>569.79</v>
      </c>
      <c r="N5" s="1">
        <v>720</v>
      </c>
      <c r="O5" s="5">
        <f>Tabela1[[#This Row],[Kwota najniższa3]]/Tabela1[[#This Row],[koszt powierzchni z widownią 
od 1 000 do 5 000 osób na dobę1]]*Tabela1[[#This Row],[Waga3]]</f>
        <v>0.79137499999999994</v>
      </c>
      <c r="P5" s="1">
        <v>569.79</v>
      </c>
      <c r="Q5" s="5">
        <f>Tabela1[[#This Row],[Kwota najniższa3]]/Tabela1[[#This Row],[koszt powierzchni z widownią 
od 1 000 do 5 000 osób na dobę3]]*Tabela1[[#This Row],[Waga3]]</f>
        <v>1</v>
      </c>
      <c r="R5" s="6">
        <v>1</v>
      </c>
      <c r="S5" s="1">
        <f>Tabela1[[#This Row],[koszt powierzchni z widownią 
od 1 000 do 5 000 osób na dobę3]]</f>
        <v>569.79</v>
      </c>
      <c r="T5" s="1">
        <v>780</v>
      </c>
      <c r="U5" s="5">
        <f>Tabela1[[#This Row],[Kwota najniższa4]]/Tabela1[[#This Row],[koszt powierzchni z widownią
 od 5 000 do 10 000 osób na dobę1]]*Tabela1[[#This Row],[Waga4]]</f>
        <v>1.1962692307692306</v>
      </c>
      <c r="V5" s="8">
        <v>622.05999999999995</v>
      </c>
      <c r="W5" s="10">
        <f>Tabela1[[#This Row],[Kwota najniższa4]]/Tabela1[[#This Row],[koszt powierzchni z widownią
 od 5 000 do 10 000 osób na dobę3]]*Tabela1[[#This Row],[Waga4]]</f>
        <v>1.5</v>
      </c>
      <c r="X5" s="6">
        <v>1.5</v>
      </c>
      <c r="Y5" s="1">
        <f>Tabela1[[#This Row],[koszt powierzchni z widownią
 od 5 000 do 10 000 osób na dobę3]]</f>
        <v>622.05999999999995</v>
      </c>
      <c r="Z5" s="8">
        <v>780</v>
      </c>
      <c r="AA5" s="10">
        <f>Tabela1[[#This Row],[Kwota najniższa5]]/Tabela1[[#This Row],[koszt powierzchni z widownią
 od 10 000 do 20 000 osób na dobę1]]*Tabela1[[#This Row],[Waga5]]</f>
        <v>1.7290769230769232</v>
      </c>
      <c r="AB5" s="8">
        <v>674.34</v>
      </c>
      <c r="AC5" s="10">
        <f>Tabela1[[#This Row],[Kwota najniższa5]]/Tabela1[[#This Row],[koszt powierzchni z widownią
 od 10 000 do 20 000 osób na dobę3]]*Tabela1[[#This Row],[Waga5]]</f>
        <v>2</v>
      </c>
      <c r="AD5" s="7">
        <v>2</v>
      </c>
      <c r="AE5" s="8">
        <f>Tabela1[[#This Row],[koszt powierzchni z widownią
 od 10 000 do 20 000 osób na dobę3]]</f>
        <v>674.34</v>
      </c>
      <c r="AF5" s="1">
        <v>780</v>
      </c>
      <c r="AG5" s="10">
        <f>Tabela1[[#This Row],[średnia - 30%62]]/Tabela1[[#This Row],[koszt powierzchni z widownią
od 30 000 do 50 000 osób na dobę1]]*Tabela1[[#This Row],[Waga6]]</f>
        <v>2.446217948717949</v>
      </c>
      <c r="AH5" s="8">
        <v>763.22</v>
      </c>
      <c r="AI5" s="10">
        <f>Tabela1[[#This Row],[średnia - 30%62]]/Tabela1[[#This Row],[koszt powierzchni z widownią
od 20 000 do 30 000 osób na dobę32]]*Tabela1[[#This Row],[Waga6]]</f>
        <v>2.5</v>
      </c>
      <c r="AJ5" s="7">
        <v>2.5</v>
      </c>
      <c r="AK5" s="8">
        <f>Tabela1[[#This Row],[koszt powierzchni z widownią
od 20 000 do 30 000 osób na dobę32]]</f>
        <v>763.22</v>
      </c>
      <c r="AL5" s="8">
        <v>1990</v>
      </c>
      <c r="AM5" s="10">
        <f>Tabela1[[#This Row],[średnia - 30%72]]/Tabela1[[#This Row],[koszt powierzchni z widownią
od 30 000 do 50 000 osób na dobę12]]*Tabela1[[#This Row],[Waga7]]</f>
        <v>2.0095477386934677</v>
      </c>
      <c r="AN5" s="8">
        <v>1333</v>
      </c>
      <c r="AO5" s="10">
        <f>Tabela1[[#This Row],[średnia - 30%72]]/Tabela1[[#This Row],[koszt powierzchni z widownią
od 30 000 do 50 000 osób na dobę3]]*Tabela1[[#This Row],[Waga7]]</f>
        <v>3</v>
      </c>
      <c r="AP5" s="7">
        <v>3</v>
      </c>
      <c r="AQ5" s="1">
        <f>Tabela1[[#This Row],[koszt powierzchni z widownią
od 30 000 do 50 000 osób na dobę3]]</f>
        <v>1333</v>
      </c>
      <c r="AR5" s="8">
        <v>1990</v>
      </c>
      <c r="AS5" s="10">
        <f>Tabela1[[#This Row],[koszt powierzchni z widownią
powyżej 50 000 osób na dobę1]]/Tabela1[[#This Row],[Waga9]]*Tabela1[[#This Row],[Waga8]]</f>
        <v>3.73218304576144</v>
      </c>
      <c r="AT5" s="8">
        <v>1333</v>
      </c>
      <c r="AU5" s="10">
        <f>Tabela1[[#This Row],[Waga9]]/Tabela1[[#This Row],[koszt powierzchni z widownią
powyżej 50 000 osób na dobę3]]*Tabela1[[#This Row],[Waga8]]</f>
        <v>2.5</v>
      </c>
      <c r="AV5" s="7">
        <v>2.5</v>
      </c>
      <c r="AW5" s="8">
        <f>Tabela1[[#This Row],[koszt powierzchni z widownią
powyżej 50 000 osób na dobę3]]</f>
        <v>1333</v>
      </c>
    </row>
    <row r="6" spans="1:49" s="33" customFormat="1" x14ac:dyDescent="0.25">
      <c r="A6" s="46" t="s">
        <v>3</v>
      </c>
      <c r="B6" s="8">
        <v>79</v>
      </c>
      <c r="C6" s="10">
        <f>Tabela1[[#This Row],[Kwota najniższa]]/Tabela1[[#This Row],[koszt druku1]]*Tabela1[[#This Row],[Waga1]]</f>
        <v>1</v>
      </c>
      <c r="D6" s="1">
        <v>196.8</v>
      </c>
      <c r="E6" s="5">
        <f>Tabela1[[#This Row],[Kwota najniższa]]/Tabela1[[#This Row],[koszt druku3]]*Tabela1[[#This Row],[Waga1]]</f>
        <v>0.40142276422764223</v>
      </c>
      <c r="F6" s="6">
        <v>1</v>
      </c>
      <c r="G6" s="1">
        <f>Tabela1[[#This Row],[koszt druku1]]</f>
        <v>79</v>
      </c>
      <c r="H6" s="1">
        <v>1300</v>
      </c>
      <c r="I6" s="5">
        <f>Tabela1[[#This Row],[Kwota najniższa2]]/Tabela1[[#This Row],[koszt powierzchni z widownią
 do 1 000 osób na dobę1]]*Tabela1[[#This Row],[Waga2]]</f>
        <v>0.5</v>
      </c>
      <c r="J6" s="1">
        <v>1608.84</v>
      </c>
      <c r="K6" s="5">
        <f>Tabela1[[#This Row],[Kwota najniższa2]]/Tabela1[[#This Row],[koszt powierzchni z widownią
 do 1 000 osób na dobę3]]*Tabela1[[#This Row],[Waga2]]</f>
        <v>0.40401780164590639</v>
      </c>
      <c r="L6" s="6">
        <v>0.5</v>
      </c>
      <c r="M6" s="1">
        <f>Tabela1[[#This Row],[koszt powierzchni z widownią
 do 1 000 osób na dobę1]]</f>
        <v>1300</v>
      </c>
      <c r="N6" s="1">
        <v>1300</v>
      </c>
      <c r="O6" s="5">
        <f>Tabela1[[#This Row],[Kwota najniższa3]]/Tabela1[[#This Row],[koszt powierzchni z widownią 
od 1 000 do 5 000 osób na dobę1]]*Tabela1[[#This Row],[Waga3]]</f>
        <v>1</v>
      </c>
      <c r="P6" s="1">
        <v>1608.84</v>
      </c>
      <c r="Q6" s="5">
        <f>Tabela1[[#This Row],[Kwota najniższa3]]/Tabela1[[#This Row],[koszt powierzchni z widownią 
od 1 000 do 5 000 osób na dobę3]]*Tabela1[[#This Row],[Waga3]]</f>
        <v>0.80803560329181279</v>
      </c>
      <c r="R6" s="6">
        <v>1</v>
      </c>
      <c r="S6" s="1">
        <f>Tabela1[[#This Row],[koszt powierzchni z widownią 
od 1 000 do 5 000 osób na dobę1]]</f>
        <v>1300</v>
      </c>
      <c r="T6" s="1">
        <v>1400</v>
      </c>
      <c r="U6" s="5">
        <f>Tabela1[[#This Row],[Kwota najniższa4]]/Tabela1[[#This Row],[koszt powierzchni z widownią
 od 5 000 do 10 000 osób na dobę1]]*Tabela1[[#This Row],[Waga4]]</f>
        <v>1.5</v>
      </c>
      <c r="V6" s="8">
        <v>1785.96</v>
      </c>
      <c r="W6" s="10">
        <f>Tabela1[[#This Row],[Kwota najniższa4]]/Tabela1[[#This Row],[koszt powierzchni z widownią
 od 5 000 do 10 000 osób na dobę3]]*Tabela1[[#This Row],[Waga4]]</f>
        <v>1.1758382046630385</v>
      </c>
      <c r="X6" s="6">
        <v>1.5</v>
      </c>
      <c r="Y6" s="1">
        <f>Tabela1[[#This Row],[koszt powierzchni z widownią
 od 5 000 do 10 000 osób na dobę1]]</f>
        <v>1400</v>
      </c>
      <c r="Z6" s="8">
        <v>1800</v>
      </c>
      <c r="AA6" s="10">
        <f>Tabela1[[#This Row],[Kwota najniższa5]]/Tabela1[[#This Row],[koszt powierzchni z widownią
 od 10 000 do 20 000 osób na dobę1]]*Tabela1[[#This Row],[Waga5]]</f>
        <v>2</v>
      </c>
      <c r="AB6" s="8">
        <v>2012.28</v>
      </c>
      <c r="AC6" s="10">
        <f>Tabela1[[#This Row],[Kwota najniższa5]]/Tabela1[[#This Row],[koszt powierzchni z widownią
 od 10 000 do 20 000 osób na dobę3]]*Tabela1[[#This Row],[Waga5]]</f>
        <v>1.7890154451666767</v>
      </c>
      <c r="AD6" s="7">
        <v>2</v>
      </c>
      <c r="AE6" s="8">
        <f>Tabela1[[#This Row],[koszt powierzchni z widownią
 od 10 000 do 20 000 osób na dobę1]]</f>
        <v>1800</v>
      </c>
      <c r="AF6" s="1">
        <v>2250</v>
      </c>
      <c r="AG6" s="10">
        <f>Tabela1[[#This Row],[średnia - 30%62]]/Tabela1[[#This Row],[koszt powierzchni z widownią
od 30 000 do 50 000 osób na dobę1]]*Tabela1[[#This Row],[Waga6]]</f>
        <v>2.5</v>
      </c>
      <c r="AH6" s="8">
        <v>2356.6799999999998</v>
      </c>
      <c r="AI6" s="10">
        <f>Tabela1[[#This Row],[średnia - 30%62]]/Tabela1[[#This Row],[koszt powierzchni z widownią
od 20 000 do 30 000 osób na dobę32]]*Tabela1[[#This Row],[Waga6]]</f>
        <v>2.3868323234380568</v>
      </c>
      <c r="AJ6" s="7">
        <v>2.5</v>
      </c>
      <c r="AK6" s="8">
        <f>Tabela1[[#This Row],[koszt powierzchni z widownią
od 30 000 do 50 000 osób na dobę1]]</f>
        <v>2250</v>
      </c>
      <c r="AL6" s="8">
        <v>2250</v>
      </c>
      <c r="AM6" s="10">
        <f>Tabela1[[#This Row],[średnia - 30%72]]/Tabela1[[#This Row],[koszt powierzchni z widownią
od 30 000 do 50 000 osób na dobę12]]*Tabela1[[#This Row],[Waga7]]</f>
        <v>3</v>
      </c>
      <c r="AN6" s="8">
        <v>3473.52</v>
      </c>
      <c r="AO6" s="10">
        <f>Tabela1[[#This Row],[średnia - 30%72]]/Tabela1[[#This Row],[koszt powierzchni z widownią
od 30 000 do 50 000 osób na dobę3]]*Tabela1[[#This Row],[Waga7]]</f>
        <v>1.943273682028605</v>
      </c>
      <c r="AP6" s="7">
        <v>3</v>
      </c>
      <c r="AQ6" s="1">
        <f>Tabela1[[#This Row],[koszt powierzchni z widownią
od 30 000 do 50 000 osób na dobę12]]</f>
        <v>2250</v>
      </c>
      <c r="AR6" s="8">
        <v>2250</v>
      </c>
      <c r="AS6" s="10">
        <f>Tabela1[[#This Row],[koszt powierzchni z widownią
powyżej 50 000 osób na dobę1]]/Tabela1[[#This Row],[Waga9]]*Tabela1[[#This Row],[Waga8]]</f>
        <v>2.5</v>
      </c>
      <c r="AT6" s="8">
        <v>3473.52</v>
      </c>
      <c r="AU6" s="10">
        <f>Tabela1[[#This Row],[Waga9]]/Tabela1[[#This Row],[koszt powierzchni z widownią
powyżej 50 000 osób na dobę3]]*Tabela1[[#This Row],[Waga8]]</f>
        <v>1.6193947350238376</v>
      </c>
      <c r="AV6" s="7">
        <v>2.5</v>
      </c>
      <c r="AW6" s="8">
        <f>Tabela1[[#This Row],[koszt powierzchni z widownią
powyżej 50 000 osób na dobę1]]</f>
        <v>2250</v>
      </c>
    </row>
    <row r="7" spans="1:49" s="33" customFormat="1" x14ac:dyDescent="0.25">
      <c r="A7" s="46" t="s">
        <v>7</v>
      </c>
      <c r="B7" s="8">
        <v>140</v>
      </c>
      <c r="C7" s="10">
        <f>Tabela1[[#This Row],[Kwota najniższa]]/Tabela1[[#This Row],[koszt druku1]]*Tabela1[[#This Row],[Waga1]]</f>
        <v>1.5</v>
      </c>
      <c r="D7" s="1">
        <v>984</v>
      </c>
      <c r="E7" s="5">
        <f>Tabela1[[#This Row],[Kwota najniższa]]/Tabela1[[#This Row],[koszt druku3]]*Tabela1[[#This Row],[Waga1]]</f>
        <v>0.21341463414634146</v>
      </c>
      <c r="F7" s="6">
        <v>1.5</v>
      </c>
      <c r="G7" s="1">
        <f>Tabela1[[#This Row],[koszt druku1]]</f>
        <v>140</v>
      </c>
      <c r="H7" s="1">
        <v>4500</v>
      </c>
      <c r="I7" s="56">
        <f>Tabela1[[#This Row],[Kwota najniższa2]]/Tabela1[[#This Row],[koszt powierzchni z widownią
 do 1 000 osób na dobę1]]*Tabela1[[#This Row],[Waga2]]</f>
        <v>0.5</v>
      </c>
      <c r="J7" s="1">
        <v>5086.3500000000004</v>
      </c>
      <c r="K7" s="56">
        <f>Tabela1[[#This Row],[Kwota najniższa2]]/Tabela1[[#This Row],[koszt powierzchni z widownią
 do 1 000 osób na dobę3]]*Tabela1[[#This Row],[Waga2]]</f>
        <v>0.44236043528266827</v>
      </c>
      <c r="L7" s="6">
        <v>0.5</v>
      </c>
      <c r="M7" s="57">
        <v>4500</v>
      </c>
      <c r="N7" s="1">
        <v>4500</v>
      </c>
      <c r="O7" s="5">
        <f>Tabela1[[#This Row],[Kwota najniższa3]]/Tabela1[[#This Row],[koszt powierzchni z widownią 
od 1 000 do 5 000 osób na dobę1]]*Tabela1[[#This Row],[Waga3]]</f>
        <v>1</v>
      </c>
      <c r="P7" s="1">
        <v>5086.3500000000004</v>
      </c>
      <c r="Q7" s="5">
        <f>Tabela1[[#This Row],[Kwota najniższa3]]/Tabela1[[#This Row],[koszt powierzchni z widownią 
od 1 000 do 5 000 osób na dobę3]]*Tabela1[[#This Row],[Waga3]]</f>
        <v>0.88472087056533655</v>
      </c>
      <c r="R7" s="6">
        <v>1</v>
      </c>
      <c r="S7" s="1">
        <f>Tabela1[[#This Row],[koszt powierzchni z widownią 
od 1 000 do 5 000 osób na dobę1]]</f>
        <v>4500</v>
      </c>
      <c r="T7" s="1">
        <v>4500</v>
      </c>
      <c r="U7" s="5">
        <f>Tabela1[[#This Row],[Kwota najniższa4]]/Tabela1[[#This Row],[koszt powierzchni z widownią
 od 5 000 do 10 000 osób na dobę1]]*Tabela1[[#This Row],[Waga4]]</f>
        <v>1.5</v>
      </c>
      <c r="V7" s="8">
        <v>5760.71</v>
      </c>
      <c r="W7" s="10">
        <f>Tabela1[[#This Row],[Kwota najniższa4]]/Tabela1[[#This Row],[koszt powierzchni z widownią
 od 5 000 do 10 000 osób na dobę3]]*Tabela1[[#This Row],[Waga4]]</f>
        <v>1.1717305679334664</v>
      </c>
      <c r="X7" s="6">
        <v>1.5</v>
      </c>
      <c r="Y7" s="1">
        <f>Tabela1[[#This Row],[koszt powierzchni z widownią
 od 5 000 do 10 000 osób na dobę1]]</f>
        <v>4500</v>
      </c>
      <c r="Z7" s="8">
        <v>4500</v>
      </c>
      <c r="AA7" s="10">
        <f>Tabela1[[#This Row],[Kwota najniższa5]]/Tabela1[[#This Row],[koszt powierzchni z widownią
 od 10 000 do 20 000 osób na dobę1]]*Tabela1[[#This Row],[Waga5]]</f>
        <v>2</v>
      </c>
      <c r="AB7" s="8">
        <v>6325.28</v>
      </c>
      <c r="AC7" s="10">
        <f>Tabela1[[#This Row],[Kwota najniższa5]]/Tabela1[[#This Row],[koszt powierzchni z widownią
 od 10 000 do 20 000 osób na dobę3]]*Tabela1[[#This Row],[Waga5]]</f>
        <v>1.4228619128323174</v>
      </c>
      <c r="AD7" s="7">
        <v>2</v>
      </c>
      <c r="AE7" s="8">
        <f>Tabela1[[#This Row],[koszt powierzchni z widownią
 od 10 000 do 20 000 osób na dobę1]]</f>
        <v>4500</v>
      </c>
      <c r="AF7" s="1">
        <v>4500</v>
      </c>
      <c r="AG7" s="10">
        <f>Tabela1[[#This Row],[średnia - 30%62]]/Tabela1[[#This Row],[koszt powierzchni z widownią
od 30 000 do 50 000 osób na dobę1]]*Tabela1[[#This Row],[Waga6]]</f>
        <v>2.5</v>
      </c>
      <c r="AH7" s="8">
        <v>7308.05</v>
      </c>
      <c r="AI7" s="10">
        <f>Tabela1[[#This Row],[średnia - 30%62]]/Tabela1[[#This Row],[koszt powierzchni z widownią
od 20 000 do 30 000 osób na dobę32]]*Tabela1[[#This Row],[Waga6]]</f>
        <v>1.5393983347130904</v>
      </c>
      <c r="AJ7" s="7">
        <v>2.5</v>
      </c>
      <c r="AK7" s="8">
        <f>Tabela1[[#This Row],[koszt powierzchni z widownią
od 30 000 do 50 000 osób na dobę1]]</f>
        <v>4500</v>
      </c>
      <c r="AL7" s="8">
        <v>4500</v>
      </c>
      <c r="AM7" s="10">
        <f>Tabela1[[#This Row],[średnia - 30%72]]/Tabela1[[#This Row],[koszt powierzchni z widownią
od 30 000 do 50 000 osób na dobę12]]*Tabela1[[#This Row],[Waga7]]</f>
        <v>3</v>
      </c>
      <c r="AN7" s="8">
        <v>7995</v>
      </c>
      <c r="AO7" s="10">
        <f>Tabela1[[#This Row],[średnia - 30%72]]/Tabela1[[#This Row],[koszt powierzchni z widownią
od 30 000 do 50 000 osób na dobę3]]*Tabela1[[#This Row],[Waga7]]</f>
        <v>1.6885553470919326</v>
      </c>
      <c r="AP7" s="7">
        <v>3</v>
      </c>
      <c r="AQ7" s="1">
        <f>Tabela1[[#This Row],[koszt powierzchni z widownią
od 30 000 do 50 000 osób na dobę12]]</f>
        <v>4500</v>
      </c>
      <c r="AR7" s="8">
        <v>4500</v>
      </c>
      <c r="AS7" s="10">
        <f>Tabela1[[#This Row],[koszt powierzchni z widownią
powyżej 50 000 osób na dobę1]]/Tabela1[[#This Row],[Waga9]]*Tabela1[[#This Row],[Waga8]]</f>
        <v>2.5</v>
      </c>
      <c r="AT7" s="8">
        <v>7995</v>
      </c>
      <c r="AU7" s="10">
        <f>Tabela1[[#This Row],[Waga9]]/Tabela1[[#This Row],[koszt powierzchni z widownią
powyżej 50 000 osób na dobę3]]*Tabela1[[#This Row],[Waga8]]</f>
        <v>1.4071294559099436</v>
      </c>
      <c r="AV7" s="7">
        <v>2.5</v>
      </c>
      <c r="AW7" s="8">
        <f>Tabela1[[#This Row],[koszt powierzchni z widownią
powyżej 50 000 osób na dobę1]]</f>
        <v>4500</v>
      </c>
    </row>
    <row r="8" spans="1:49" s="33" customFormat="1" x14ac:dyDescent="0.25">
      <c r="A8" s="46" t="s">
        <v>5</v>
      </c>
      <c r="B8" s="8">
        <v>159</v>
      </c>
      <c r="C8" s="10">
        <f>Tabela1[[#This Row],[Kwota najniższa]]/Tabela1[[#This Row],[koszt druku1]]*Tabela1[[#This Row],[Waga1]]</f>
        <v>1.5</v>
      </c>
      <c r="D8" s="1">
        <v>393.6</v>
      </c>
      <c r="E8" s="5">
        <f>Tabela1[[#This Row],[Kwota najniższa]]/Tabela1[[#This Row],[koszt druku3]]*Tabela1[[#This Row],[Waga1]]</f>
        <v>0.60594512195121952</v>
      </c>
      <c r="F8" s="6">
        <v>1.5</v>
      </c>
      <c r="G8" s="1">
        <f>Tabela1[[#This Row],[koszt druku1]]</f>
        <v>159</v>
      </c>
      <c r="H8" s="1">
        <v>3800</v>
      </c>
      <c r="I8" s="5">
        <f>Tabela1[[#This Row],[Kwota najniższa2]]/Tabela1[[#This Row],[koszt powierzchni z widownią
 do 1 000 osób na dobę1]]*Tabela1[[#This Row],[Waga2]]</f>
        <v>0.5</v>
      </c>
      <c r="J8" s="1">
        <v>4787.16</v>
      </c>
      <c r="K8" s="5">
        <f>Tabela1[[#This Row],[Kwota najniższa2]]/Tabela1[[#This Row],[koszt powierzchni z widownią
 do 1 000 osób na dobę3]]*Tabela1[[#This Row],[Waga2]]</f>
        <v>0.39689502753198141</v>
      </c>
      <c r="L8" s="6">
        <v>0.5</v>
      </c>
      <c r="M8" s="1">
        <f>Tabela1[[#This Row],[koszt powierzchni z widownią
 do 1 000 osób na dobę1]]</f>
        <v>3800</v>
      </c>
      <c r="N8" s="1">
        <v>3800</v>
      </c>
      <c r="O8" s="5">
        <f>Tabela1[[#This Row],[Kwota najniższa3]]/Tabela1[[#This Row],[koszt powierzchni z widownią 
od 1 000 do 5 000 osób na dobę1]]*Tabela1[[#This Row],[Waga3]]</f>
        <v>1</v>
      </c>
      <c r="P8" s="1">
        <v>4787.16</v>
      </c>
      <c r="Q8" s="5">
        <f>Tabela1[[#This Row],[Kwota najniższa3]]/Tabela1[[#This Row],[koszt powierzchni z widownią 
od 1 000 do 5 000 osób na dobę3]]*Tabela1[[#This Row],[Waga3]]</f>
        <v>0.79379005506396283</v>
      </c>
      <c r="R8" s="6">
        <v>1</v>
      </c>
      <c r="S8" s="1">
        <f>Tabela1[[#This Row],[koszt powierzchni z widownią 
od 1 000 do 5 000 osób na dobę1]]</f>
        <v>3800</v>
      </c>
      <c r="T8" s="1">
        <v>3800</v>
      </c>
      <c r="U8" s="5">
        <f>Tabela1[[#This Row],[Kwota najniższa4]]/Tabela1[[#This Row],[koszt powierzchni z widownią
 od 5 000 do 10 000 osób na dobę1]]*Tabela1[[#This Row],[Waga4]]</f>
        <v>1.5</v>
      </c>
      <c r="V8" s="8">
        <v>5421.84</v>
      </c>
      <c r="W8" s="10">
        <f>Tabela1[[#This Row],[Kwota najniższa4]]/Tabela1[[#This Row],[koszt powierzchni z widownią
 od 5 000 do 10 000 osób na dobę3]]*Tabela1[[#This Row],[Waga4]]</f>
        <v>1.0513036164844407</v>
      </c>
      <c r="X8" s="6">
        <v>1.5</v>
      </c>
      <c r="Y8" s="1">
        <f>Tabela1[[#This Row],[koszt powierzchni z widownią
 od 5 000 do 10 000 osób na dobę1]]</f>
        <v>3800</v>
      </c>
      <c r="Z8" s="8">
        <v>3800</v>
      </c>
      <c r="AA8" s="10">
        <f>Tabela1[[#This Row],[Kwota najniższa5]]/Tabela1[[#This Row],[koszt powierzchni z widownią
 od 10 000 do 20 000 osób na dobę1]]*Tabela1[[#This Row],[Waga5]]</f>
        <v>2</v>
      </c>
      <c r="AB8" s="8">
        <v>5953.2</v>
      </c>
      <c r="AC8" s="10">
        <f>Tabela1[[#This Row],[Kwota najniższa5]]/Tabela1[[#This Row],[koszt powierzchni z widownią
 od 10 000 do 20 000 osób na dobę3]]*Tabela1[[#This Row],[Waga5]]</f>
        <v>1.2766243364912988</v>
      </c>
      <c r="AD8" s="7">
        <v>2</v>
      </c>
      <c r="AE8" s="8">
        <f>Tabela1[[#This Row],[koszt powierzchni z widownią
 od 10 000 do 20 000 osób na dobę1]]</f>
        <v>3800</v>
      </c>
      <c r="AF8" s="1">
        <v>3800</v>
      </c>
      <c r="AG8" s="10">
        <f>Tabela1[[#This Row],[średnia - 30%62]]/Tabela1[[#This Row],[koszt powierzchni z widownią
od 30 000 do 50 000 osób na dobę1]]*Tabela1[[#This Row],[Waga6]]</f>
        <v>2.5</v>
      </c>
      <c r="AH8" s="8">
        <v>6878.16</v>
      </c>
      <c r="AI8" s="10">
        <f>Tabela1[[#This Row],[średnia - 30%62]]/Tabela1[[#This Row],[koszt powierzchni z widownią
od 20 000 do 30 000 osób na dobę32]]*Tabela1[[#This Row],[Waga6]]</f>
        <v>1.381183339730393</v>
      </c>
      <c r="AJ8" s="7">
        <v>2.5</v>
      </c>
      <c r="AK8" s="8">
        <f>Tabela1[[#This Row],[koszt powierzchni z widownią
od 30 000 do 50 000 osób na dobę1]]</f>
        <v>3800</v>
      </c>
      <c r="AL8" s="8">
        <v>3800</v>
      </c>
      <c r="AM8" s="10">
        <f>Tabela1[[#This Row],[średnia - 30%72]]/Tabela1[[#This Row],[koszt powierzchni z widownią
od 30 000 do 50 000 osób na dobę12]]*Tabela1[[#This Row],[Waga7]]</f>
        <v>3</v>
      </c>
      <c r="AN8" s="8">
        <v>7995</v>
      </c>
      <c r="AO8" s="10">
        <f>Tabela1[[#This Row],[średnia - 30%72]]/Tabela1[[#This Row],[koszt powierzchni z widownią
od 30 000 do 50 000 osób na dobę3]]*Tabela1[[#This Row],[Waga7]]</f>
        <v>1.425891181988743</v>
      </c>
      <c r="AP8" s="7">
        <v>3</v>
      </c>
      <c r="AQ8" s="1">
        <f>Tabela1[[#This Row],[koszt powierzchni z widownią
od 30 000 do 50 000 osób na dobę12]]</f>
        <v>3800</v>
      </c>
      <c r="AR8" s="8">
        <v>3800</v>
      </c>
      <c r="AS8" s="10">
        <f>Tabela1[[#This Row],[koszt powierzchni z widownią
powyżej 50 000 osób na dobę1]]/Tabela1[[#This Row],[Waga9]]*Tabela1[[#This Row],[Waga8]]</f>
        <v>2.5</v>
      </c>
      <c r="AT8" s="8">
        <v>7995</v>
      </c>
      <c r="AU8" s="10">
        <f>Tabela1[[#This Row],[Waga9]]/Tabela1[[#This Row],[koszt powierzchni z widownią
powyżej 50 000 osób na dobę3]]*Tabela1[[#This Row],[Waga8]]</f>
        <v>1.1882426516572857</v>
      </c>
      <c r="AV8" s="7">
        <v>2.5</v>
      </c>
      <c r="AW8" s="8">
        <f>Tabela1[[#This Row],[koszt powierzchni z widownią
powyżej 50 000 osób na dobę1]]</f>
        <v>3800</v>
      </c>
    </row>
    <row r="9" spans="1:49" s="33" customFormat="1" x14ac:dyDescent="0.25">
      <c r="A9" s="46" t="s">
        <v>4</v>
      </c>
      <c r="B9" s="8">
        <v>211</v>
      </c>
      <c r="C9" s="10">
        <f>Tabela1[[#This Row],[Kwota najniższa]]/Tabela1[[#This Row],[koszt druku1]]*Tabela1[[#This Row],[Waga1]]</f>
        <v>1.5</v>
      </c>
      <c r="D9" s="1">
        <v>528.9</v>
      </c>
      <c r="E9" s="5">
        <f>Tabela1[[#This Row],[Kwota najniższa]]/Tabela1[[#This Row],[koszt druku3]]*Tabela1[[#This Row],[Waga1]]</f>
        <v>0.59841179807146905</v>
      </c>
      <c r="F9" s="6">
        <v>1.5</v>
      </c>
      <c r="G9" s="1">
        <f>Tabela1[[#This Row],[koszt druku1]]</f>
        <v>211</v>
      </c>
      <c r="H9" s="1">
        <v>5570</v>
      </c>
      <c r="I9" s="5">
        <f>Tabela1[[#This Row],[Kwota najniższa2]]/Tabela1[[#This Row],[koszt powierzchni z widownią
 do 1 000 osób na dobę1]]*Tabela1[[#This Row],[Waga2]]</f>
        <v>0.42972710951526033</v>
      </c>
      <c r="J9" s="1">
        <v>4787.16</v>
      </c>
      <c r="K9" s="5">
        <f>Tabela1[[#This Row],[Kwota najniższa2]]/Tabela1[[#This Row],[koszt powierzchni z widownią
 do 1 000 osób na dobę3]]*Tabela1[[#This Row],[Waga2]]</f>
        <v>0.5</v>
      </c>
      <c r="L9" s="6">
        <v>0.5</v>
      </c>
      <c r="M9" s="1">
        <f>Tabela1[[#This Row],[koszt powierzchni z widownią
 do 1 000 osób na dobę3]]</f>
        <v>4787.16</v>
      </c>
      <c r="N9" s="1">
        <v>5570</v>
      </c>
      <c r="O9" s="5">
        <f>Tabela1[[#This Row],[Kwota najniższa3]]/Tabela1[[#This Row],[koszt powierzchni z widownią 
od 1 000 do 5 000 osób na dobę1]]*Tabela1[[#This Row],[Waga3]]</f>
        <v>0.85945421903052066</v>
      </c>
      <c r="P9" s="1">
        <v>4787.16</v>
      </c>
      <c r="Q9" s="5">
        <f>Tabela1[[#This Row],[Kwota najniższa3]]/Tabela1[[#This Row],[koszt powierzchni z widownią 
od 1 000 do 5 000 osób na dobę3]]*Tabela1[[#This Row],[Waga3]]</f>
        <v>1</v>
      </c>
      <c r="R9" s="6">
        <v>1</v>
      </c>
      <c r="S9" s="1">
        <f>Tabela1[[#This Row],[koszt powierzchni z widownią 
od 1 000 do 5 000 osób na dobę3]]</f>
        <v>4787.16</v>
      </c>
      <c r="T9" s="1">
        <v>5120</v>
      </c>
      <c r="U9" s="5">
        <f>Tabela1[[#This Row],[Kwota najniższa4]]/Tabela1[[#This Row],[koszt powierzchni z widownią
 od 5 000 do 10 000 osób na dobę1]]*Tabela1[[#This Row],[Waga4]]</f>
        <v>1.5</v>
      </c>
      <c r="V9" s="8">
        <v>5421.84</v>
      </c>
      <c r="W9" s="10">
        <f>Tabela1[[#This Row],[Kwota najniższa4]]/Tabela1[[#This Row],[koszt powierzchni z widownią
 od 5 000 do 10 000 osób na dobę3]]*Tabela1[[#This Row],[Waga4]]</f>
        <v>1.4164932937895622</v>
      </c>
      <c r="X9" s="6">
        <v>1.5</v>
      </c>
      <c r="Y9" s="1">
        <f>Tabela1[[#This Row],[koszt powierzchni z widownią
 od 5 000 do 10 000 osób na dobę1]]</f>
        <v>5120</v>
      </c>
      <c r="Z9" s="8">
        <v>5700</v>
      </c>
      <c r="AA9" s="10">
        <f>Tabela1[[#This Row],[Kwota najniższa5]]/Tabela1[[#This Row],[koszt powierzchni z widownią
 od 10 000 do 20 000 osób na dobę1]]*Tabela1[[#This Row],[Waga5]]</f>
        <v>2</v>
      </c>
      <c r="AB9" s="8">
        <v>5953.2</v>
      </c>
      <c r="AC9" s="10">
        <f>Tabela1[[#This Row],[Kwota najniższa5]]/Tabela1[[#This Row],[koszt powierzchni z widownią
 od 10 000 do 20 000 osób na dobę3]]*Tabela1[[#This Row],[Waga5]]</f>
        <v>1.9149365047369482</v>
      </c>
      <c r="AD9" s="7">
        <v>2</v>
      </c>
      <c r="AE9" s="8">
        <f>Tabela1[[#This Row],[koszt powierzchni z widownią
 od 10 000 do 20 000 osób na dobę1]]</f>
        <v>5700</v>
      </c>
      <c r="AF9" s="1">
        <v>5700</v>
      </c>
      <c r="AG9" s="10">
        <f>Tabela1[[#This Row],[średnia - 30%62]]/Tabela1[[#This Row],[koszt powierzchni z widownią
od 30 000 do 50 000 osób na dobę1]]*Tabela1[[#This Row],[Waga6]]</f>
        <v>2.5</v>
      </c>
      <c r="AH9" s="8">
        <v>6878.16</v>
      </c>
      <c r="AI9" s="10">
        <f>Tabela1[[#This Row],[średnia - 30%62]]/Tabela1[[#This Row],[koszt powierzchni z widownią
od 20 000 do 30 000 osób na dobę32]]*Tabela1[[#This Row],[Waga6]]</f>
        <v>2.0717750095955894</v>
      </c>
      <c r="AJ9" s="7">
        <v>2.5</v>
      </c>
      <c r="AK9" s="8">
        <f>Tabela1[[#This Row],[koszt powierzchni z widownią
od 30 000 do 50 000 osób na dobę1]]</f>
        <v>5700</v>
      </c>
      <c r="AL9" s="8">
        <v>5700</v>
      </c>
      <c r="AM9" s="10">
        <f>Tabela1[[#This Row],[średnia - 30%72]]/Tabela1[[#This Row],[koszt powierzchni z widownią
od 30 000 do 50 000 osób na dobę12]]*Tabela1[[#This Row],[Waga7]]</f>
        <v>3</v>
      </c>
      <c r="AN9" s="8">
        <v>7995</v>
      </c>
      <c r="AO9" s="10">
        <f>Tabela1[[#This Row],[średnia - 30%72]]/Tabela1[[#This Row],[koszt powierzchni z widownią
od 30 000 do 50 000 osób na dobę3]]*Tabela1[[#This Row],[Waga7]]</f>
        <v>2.1388367729831144</v>
      </c>
      <c r="AP9" s="7">
        <v>3</v>
      </c>
      <c r="AQ9" s="1">
        <f>Tabela1[[#This Row],[koszt powierzchni z widownią
od 30 000 do 50 000 osób na dobę12]]</f>
        <v>5700</v>
      </c>
      <c r="AR9" s="8">
        <v>5700</v>
      </c>
      <c r="AS9" s="10">
        <f>Tabela1[[#This Row],[koszt powierzchni z widownią
powyżej 50 000 osób na dobę1]]/Tabela1[[#This Row],[Waga9]]*Tabela1[[#This Row],[Waga8]]</f>
        <v>2.5</v>
      </c>
      <c r="AT9" s="8">
        <v>7995</v>
      </c>
      <c r="AU9" s="10">
        <f>Tabela1[[#This Row],[Waga9]]/Tabela1[[#This Row],[koszt powierzchni z widownią
powyżej 50 000 osób na dobę3]]*Tabela1[[#This Row],[Waga8]]</f>
        <v>1.7823639774859288</v>
      </c>
      <c r="AV9" s="7">
        <v>2.5</v>
      </c>
      <c r="AW9" s="8">
        <f>Tabela1[[#This Row],[koszt powierzchni z widownią
powyżej 50 000 osób na dobę1]]</f>
        <v>5700</v>
      </c>
    </row>
    <row r="10" spans="1:49" s="33" customFormat="1" x14ac:dyDescent="0.25">
      <c r="A10" s="46"/>
      <c r="B10" s="20"/>
      <c r="C10" s="21">
        <f>SUM(Tabela1[Simga pkt1])</f>
        <v>8</v>
      </c>
      <c r="D10" s="14"/>
      <c r="E10" s="22">
        <f>SUM(Tabela1[STROER pkt1])</f>
        <v>2.882428284069662</v>
      </c>
      <c r="F10" s="23"/>
      <c r="G10" s="14"/>
      <c r="H10" s="14"/>
      <c r="I10" s="22">
        <f>SUM(Tabela1[Simga pkt2])</f>
        <v>6.197831276181927</v>
      </c>
      <c r="J10" s="14"/>
      <c r="K10" s="22">
        <f>SUM(Tabela1[STROER pkt2])</f>
        <v>6.1370227982861705</v>
      </c>
      <c r="L10" s="14"/>
      <c r="M10" s="14"/>
      <c r="N10" s="14"/>
      <c r="O10" s="22">
        <f>SUM(Tabela1[Simga pkt3])</f>
        <v>8.3956625523638539</v>
      </c>
      <c r="P10" s="14"/>
      <c r="Q10" s="22">
        <f>SUM(Tabela1[STROER pkt4])</f>
        <v>8.3954747007716399</v>
      </c>
      <c r="R10" s="14"/>
      <c r="S10" s="14"/>
      <c r="T10" s="14"/>
      <c r="U10" s="22">
        <f>SUM(Tabela1[Simga pkt4])</f>
        <v>8.9727256410256402</v>
      </c>
      <c r="V10" s="14"/>
      <c r="W10" s="22">
        <f>SUM(Tabela1[STROER pkt42])</f>
        <v>10.315365682870508</v>
      </c>
      <c r="X10" s="14"/>
      <c r="Y10" s="14"/>
      <c r="Z10" s="24"/>
      <c r="AA10" s="21">
        <f>SUM(Tabela1[Simga pkt5])</f>
        <v>11.920621538461539</v>
      </c>
      <c r="AB10" s="24"/>
      <c r="AC10" s="21">
        <f>SUM(Tabela1[STROER pkt5])</f>
        <v>12.40343819922724</v>
      </c>
      <c r="AD10" s="24"/>
      <c r="AE10" s="24"/>
      <c r="AF10" s="14"/>
      <c r="AG10" s="21">
        <f>SUM(AG4:AG9)</f>
        <v>14.74852564102564</v>
      </c>
      <c r="AH10" s="24"/>
      <c r="AI10" s="21">
        <f>SUM(Tabela1[koszt powierzchni z widownią
od 20 000 do 30 000 osób na dobę33])</f>
        <v>13.87918900747713</v>
      </c>
      <c r="AJ10" s="24"/>
      <c r="AK10" s="24"/>
      <c r="AL10" s="24"/>
      <c r="AM10" s="21">
        <f>SUM(Tabela1[koszt powierzchni z widownią
od 30 000 do 50 000 osób na dobę13])</f>
        <v>16.434776863038596</v>
      </c>
      <c r="AN10" s="24"/>
      <c r="AO10" s="21">
        <f>SUM(Tabela1[koszt powierzchni z widownią
od 30 000 do 50 000 osób na dobę4])</f>
        <v>14.196556984092396</v>
      </c>
      <c r="AP10" s="24"/>
      <c r="AQ10" s="14"/>
      <c r="AR10" s="24"/>
      <c r="AS10" s="10">
        <f>SUM(Tabela1[koszt powierzchni z widownią
powyżej 50 000 osób na dobę2])</f>
        <v>18.693923839639968</v>
      </c>
      <c r="AT10" s="24"/>
      <c r="AU10" s="10">
        <f>SUM(Tabela1[koszt powierzchni z widownią
powyżej 50 000 osób na dobę4])</f>
        <v>11.497130820076995</v>
      </c>
      <c r="AV10" s="24"/>
      <c r="AW10" s="25"/>
    </row>
    <row r="13" spans="1:49" x14ac:dyDescent="0.25">
      <c r="B13" s="17" t="s">
        <v>53</v>
      </c>
      <c r="C13" s="18">
        <f>Tabela1[[#Totals],[Simga pkt1]]+Tabela1[[#Totals],[Simga pkt2]]+Tabela1[[#Totals],[Simga pkt3]]+Tabela1[[#Totals],[Simga pkt4]]+Tabela1[[#Totals],[Simga pkt5]]+Tabela1[[#Totals],[koszt powierzchni z widownią
od 30 000 do 50 000 osób na dobę2]]+Tabela1[[#Totals],[koszt powierzchni z widownią
od 30 000 do 50 000 osób na dobę13]]+Tabela1[[#Totals],[koszt powierzchni z widownią
powyżej 50 000 osób na dobę2]]</f>
        <v>93.364067351737162</v>
      </c>
    </row>
    <row r="14" spans="1:49" x14ac:dyDescent="0.25">
      <c r="B14" s="17" t="s">
        <v>54</v>
      </c>
      <c r="C14" s="18">
        <f>Tabela1[[#Totals],[STROER pkt1]]+Tabela1[[#Totals],[STROER pkt2]]+Tabela1[[#Totals],[STROER pkt4]]+Tabela1[[#Totals],[STROER pkt42]]+Tabela1[[#Totals],[STROER pkt5]]+Tabela1[[#Totals],[koszt powierzchni z widownią
od 20 000 do 30 000 osób na dobę33]]+Tabela1[[#Totals],[koszt powierzchni z widownią
od 30 000 do 50 000 osób na dobę4]]+Tabela1[[#Totals],[koszt powierzchni z widownią
powyżej 50 000 osób na dobę4]]</f>
        <v>79.706606476871741</v>
      </c>
    </row>
  </sheetData>
  <pageMargins left="0.7" right="0.7" top="0.75" bottom="0.75" header="0.3" footer="0.3"/>
  <pageSetup paperSize="9" orientation="portrait" horizontalDpi="300" copies="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6"/>
  <sheetViews>
    <sheetView zoomScale="80" zoomScaleNormal="80" workbookViewId="0">
      <selection activeCell="B5" sqref="B5:B6"/>
    </sheetView>
  </sheetViews>
  <sheetFormatPr defaultRowHeight="15" x14ac:dyDescent="0.25"/>
  <cols>
    <col min="1" max="1" width="42.85546875" customWidth="1"/>
    <col min="2" max="9" width="21.42578125" customWidth="1"/>
    <col min="10" max="13" width="21.28515625" customWidth="1"/>
    <col min="14" max="27" width="21.7109375" customWidth="1"/>
    <col min="28" max="37" width="21.28515625" customWidth="1"/>
    <col min="38" max="43" width="21.42578125" customWidth="1"/>
  </cols>
  <sheetData>
    <row r="2" spans="1:43" s="32" customFormat="1" ht="60" customHeight="1" x14ac:dyDescent="0.2">
      <c r="A2" s="27" t="s">
        <v>126</v>
      </c>
      <c r="B2" s="28" t="s">
        <v>36</v>
      </c>
      <c r="C2" s="28" t="s">
        <v>83</v>
      </c>
      <c r="D2" s="29" t="s">
        <v>35</v>
      </c>
      <c r="E2" s="29" t="s">
        <v>116</v>
      </c>
      <c r="F2" s="26" t="s">
        <v>123</v>
      </c>
      <c r="G2" s="26" t="s">
        <v>84</v>
      </c>
      <c r="H2" s="30" t="s">
        <v>38</v>
      </c>
      <c r="I2" s="28" t="s">
        <v>85</v>
      </c>
      <c r="J2" s="31" t="s">
        <v>37</v>
      </c>
      <c r="K2" s="29" t="s">
        <v>117</v>
      </c>
      <c r="L2" s="26" t="s">
        <v>90</v>
      </c>
      <c r="M2" s="26" t="s">
        <v>88</v>
      </c>
      <c r="N2" s="30" t="s">
        <v>49</v>
      </c>
      <c r="O2" s="28" t="s">
        <v>94</v>
      </c>
      <c r="P2" s="31" t="s">
        <v>39</v>
      </c>
      <c r="Q2" s="29" t="s">
        <v>118</v>
      </c>
      <c r="R2" s="26" t="s">
        <v>91</v>
      </c>
      <c r="S2" s="26" t="s">
        <v>93</v>
      </c>
      <c r="T2" s="30" t="s">
        <v>8</v>
      </c>
      <c r="U2" s="28" t="s">
        <v>98</v>
      </c>
      <c r="V2" s="31" t="s">
        <v>41</v>
      </c>
      <c r="W2" s="29" t="s">
        <v>119</v>
      </c>
      <c r="X2" s="26" t="s">
        <v>92</v>
      </c>
      <c r="Y2" s="26" t="s">
        <v>101</v>
      </c>
      <c r="Z2" s="30" t="s">
        <v>55</v>
      </c>
      <c r="AA2" s="28" t="s">
        <v>102</v>
      </c>
      <c r="AB2" s="31" t="s">
        <v>56</v>
      </c>
      <c r="AC2" s="29" t="s">
        <v>120</v>
      </c>
      <c r="AD2" s="26" t="s">
        <v>100</v>
      </c>
      <c r="AE2" s="26" t="s">
        <v>124</v>
      </c>
      <c r="AF2" s="30" t="s">
        <v>10</v>
      </c>
      <c r="AG2" s="28" t="s">
        <v>114</v>
      </c>
      <c r="AH2" s="31" t="s">
        <v>57</v>
      </c>
      <c r="AI2" s="29" t="s">
        <v>121</v>
      </c>
      <c r="AJ2" s="26" t="s">
        <v>110</v>
      </c>
      <c r="AK2" s="26" t="s">
        <v>125</v>
      </c>
      <c r="AL2" s="30" t="s">
        <v>11</v>
      </c>
      <c r="AM2" s="28" t="s">
        <v>115</v>
      </c>
      <c r="AN2" s="31" t="s">
        <v>58</v>
      </c>
      <c r="AO2" s="29" t="s">
        <v>122</v>
      </c>
      <c r="AP2" s="26" t="s">
        <v>111</v>
      </c>
      <c r="AQ2" s="26" t="s">
        <v>87</v>
      </c>
    </row>
    <row r="3" spans="1:43" s="25" customFormat="1" x14ac:dyDescent="0.25">
      <c r="A3" s="34" t="s">
        <v>9</v>
      </c>
      <c r="B3" s="8">
        <v>37</v>
      </c>
      <c r="C3" s="10">
        <f>Tabela13[Kwota najniższa]/Tabela13[koszt druku1]*Tabela13[Waga]</f>
        <v>25</v>
      </c>
      <c r="D3" s="36">
        <v>67.650000000000006</v>
      </c>
      <c r="E3" s="10">
        <f>Tabela13[Kwota najniższa]/Tabela13[koszt druku3]*Tabela13[Waga]</f>
        <v>13.673318551367331</v>
      </c>
      <c r="F3" s="10">
        <v>25</v>
      </c>
      <c r="G3" s="36">
        <f>Tabela13[[#This Row],[koszt druku1]]</f>
        <v>37</v>
      </c>
      <c r="H3" s="8">
        <v>445</v>
      </c>
      <c r="I3" s="10">
        <f>Tabela13[Kwota najniższa3]/Tabela13[koszt powierzchni z widownią
 do 1 000 osób na dobę1]*Tabela13[Waga2]</f>
        <v>8</v>
      </c>
      <c r="J3" s="8">
        <v>766.29</v>
      </c>
      <c r="K3" s="10">
        <f>Tabela13[Kwota najniższa3]/Tabela13[koszt powierzchni z widownią
 do 1 000 osób na dobę3]*Tabela13[Waga2]</f>
        <v>4.645760743321719</v>
      </c>
      <c r="L3" s="10">
        <v>8</v>
      </c>
      <c r="M3" s="36">
        <f>Tabela13[[#This Row],[koszt powierzchni z widownią
 do 1 000 osób na dobę1]]</f>
        <v>445</v>
      </c>
      <c r="N3" s="8">
        <v>515</v>
      </c>
      <c r="O3" s="10">
        <f>Tabela13[Kwota najniższa4]/Tabela13[koszt powierzchni z widownią 
od 1 000 do 5 000 osób na dobę1]*Tabela13[Waga3]</f>
        <v>9</v>
      </c>
      <c r="P3" s="36">
        <v>809.34</v>
      </c>
      <c r="Q3" s="35">
        <f>Tabela13[Kwota najniższa4]/Tabela13[koszt powierzchni z widownią 
od 1 000 do 5 000 osób na dobę3]*Tabela13[Waga3]</f>
        <v>5.7268885758766395</v>
      </c>
      <c r="R3" s="35">
        <v>9</v>
      </c>
      <c r="S3" s="36">
        <f>Tabela13[[#This Row],[koszt powierzchni z widownią 
od 1 000 do 5 000 osób na dobę1]]</f>
        <v>515</v>
      </c>
      <c r="T3" s="8">
        <v>690</v>
      </c>
      <c r="U3" s="10">
        <f>Tabela13[Kwota najniższa5]/Tabela13[koszt powierzchni z widownią
 od 5 000 do 10 000 osób na dobę]*Tabela13[Waga4]</f>
        <v>10</v>
      </c>
      <c r="V3" s="25">
        <v>856.7</v>
      </c>
      <c r="W3" s="35">
        <f>Tabela13[Kwota najniższa5]/Tabela13[koszt powierzchni z widownią
 od 5 000 do 10 000 osób na dobę3]*Tabela13[Waga4]</f>
        <v>8.0541613166802843</v>
      </c>
      <c r="X3" s="35">
        <v>10</v>
      </c>
      <c r="Y3" s="36">
        <f>Tabela13[[#This Row],[koszt powierzchni z widownią
 od 5 000 do 10 000 osób na dobę]]</f>
        <v>690</v>
      </c>
      <c r="Z3" s="8">
        <v>750</v>
      </c>
      <c r="AA3" s="10">
        <f>Tabela13[Kwota najniższa6]/Tabela13[koszt powierzchni z widownią
 od 10 000 do 15 000 osób na dobę1]*Tabela13[Waga5]</f>
        <v>12</v>
      </c>
      <c r="AB3" s="25">
        <v>899.75</v>
      </c>
      <c r="AC3" s="35">
        <f>Tabela13[Kwota najniższa6]/Tabela13[koszt powierzchni z widownią
 od 10 000 do 15 000 osób na dobę3]*Tabela13[Waga5]</f>
        <v>10.00277854959711</v>
      </c>
      <c r="AD3" s="35">
        <v>12</v>
      </c>
      <c r="AE3" s="36">
        <f>Tabela13[[#This Row],[koszt powierzchni z widownią
 od 10 000 do 15 000 osób na dobę1]]</f>
        <v>750</v>
      </c>
      <c r="AF3" s="8">
        <v>990</v>
      </c>
      <c r="AG3" s="10">
        <f>Tabela13[Kwota najniższa7]/Tabela13[koszt powierzchni z widownią
od 15 000 do 25 000 osób na dobę]*Tabela13[Waga6]</f>
        <v>16</v>
      </c>
      <c r="AH3" s="25">
        <v>1046.1199999999999</v>
      </c>
      <c r="AI3" s="35">
        <f>Tabela13[Kwota najniższa7]/Tabela13[koszt powierzchni z widownią
od 15 000 do 25 000 osób na dobę22]*Tabela13[Waga6]</f>
        <v>15.141666348028908</v>
      </c>
      <c r="AJ3" s="35">
        <v>16</v>
      </c>
      <c r="AK3" s="36">
        <f>Tabela13[[#This Row],[koszt powierzchni z widownią
od 15 000 do 25 000 osób na dobę]]</f>
        <v>990</v>
      </c>
      <c r="AL3" s="8">
        <v>990</v>
      </c>
      <c r="AM3" s="10">
        <f>Tabela13[Kwota najniższa2]/Tabela13[koszt powierzchni z widownią
powyżej 25 000 osób na dobę]*Tabela13[Waga7]</f>
        <v>20</v>
      </c>
      <c r="AN3" s="36">
        <v>1046.1199999999999</v>
      </c>
      <c r="AO3" s="35">
        <f>Tabela13[Kwota najniższa2]/Tabela13[koszt powierzchni z widownią
powyżej 25 000 osób na dobę22]*Tabela13[Waga7]</f>
        <v>18.927082935036136</v>
      </c>
      <c r="AP3" s="35">
        <v>20</v>
      </c>
      <c r="AQ3" s="36">
        <f>Tabela13[[#This Row],[koszt powierzchni z widownią
powyżej 25 000 osób na dobę]]</f>
        <v>990</v>
      </c>
    </row>
    <row r="5" spans="1:43" x14ac:dyDescent="0.25">
      <c r="B5" s="17" t="s">
        <v>53</v>
      </c>
      <c r="C5" s="9">
        <f>Tabela13[Simga pkt]+Tabela13[Simga pkt2]+Tabela13[Simga pkt3]+Tabela13[Simga pkt4]+Tabela13[Simga pkt5]+Tabela13[Simga pkt6]+Tabela13[Simga pkt7]</f>
        <v>100</v>
      </c>
    </row>
    <row r="6" spans="1:43" x14ac:dyDescent="0.25">
      <c r="B6" s="17" t="s">
        <v>54</v>
      </c>
      <c r="C6" s="9">
        <f>Tabela13[Stroer pkt]+Tabela13[Stroer pkt2]+Tabela13[Stroer pkt3]+Tabela13[Stroer pkt4]+Tabela13[Stroer pkt5]+Tabela13[Stroer pkt6]+Tabela13[Stroer pkt7]</f>
        <v>76.171657019908125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6"/>
  <sheetViews>
    <sheetView tabSelected="1" topLeftCell="V1" zoomScale="80" zoomScaleNormal="80" workbookViewId="0">
      <selection activeCell="AP2" sqref="AP2"/>
    </sheetView>
  </sheetViews>
  <sheetFormatPr defaultRowHeight="15" x14ac:dyDescent="0.25"/>
  <cols>
    <col min="1" max="1" width="42.85546875" customWidth="1"/>
    <col min="2" max="7" width="21.7109375" customWidth="1"/>
    <col min="8" max="13" width="21.140625" customWidth="1"/>
    <col min="14" max="25" width="21.42578125" customWidth="1"/>
    <col min="26" max="31" width="21.7109375" customWidth="1"/>
  </cols>
  <sheetData>
    <row r="2" spans="1:42" s="41" customFormat="1" ht="51" x14ac:dyDescent="0.2">
      <c r="A2" s="37" t="s">
        <v>0</v>
      </c>
      <c r="B2" s="38" t="s">
        <v>64</v>
      </c>
      <c r="C2" s="38" t="s">
        <v>127</v>
      </c>
      <c r="D2" s="39" t="s">
        <v>59</v>
      </c>
      <c r="E2" s="39" t="s">
        <v>116</v>
      </c>
      <c r="F2" s="40" t="s">
        <v>123</v>
      </c>
      <c r="G2" s="40" t="s">
        <v>128</v>
      </c>
      <c r="H2" s="38" t="s">
        <v>26</v>
      </c>
      <c r="I2" s="38" t="s">
        <v>133</v>
      </c>
      <c r="J2" s="39" t="s">
        <v>60</v>
      </c>
      <c r="K2" s="39" t="s">
        <v>117</v>
      </c>
      <c r="L2" s="40" t="s">
        <v>90</v>
      </c>
      <c r="M2" s="40" t="s">
        <v>132</v>
      </c>
      <c r="N2" s="38" t="s">
        <v>27</v>
      </c>
      <c r="O2" s="38" t="s">
        <v>134</v>
      </c>
      <c r="P2" s="39" t="s">
        <v>61</v>
      </c>
      <c r="Q2" s="39" t="s">
        <v>118</v>
      </c>
      <c r="R2" s="40" t="s">
        <v>91</v>
      </c>
      <c r="S2" s="40" t="s">
        <v>129</v>
      </c>
      <c r="T2" s="38" t="s">
        <v>28</v>
      </c>
      <c r="U2" s="38" t="s">
        <v>135</v>
      </c>
      <c r="V2" s="39" t="s">
        <v>62</v>
      </c>
      <c r="W2" s="39" t="s">
        <v>119</v>
      </c>
      <c r="X2" s="40" t="s">
        <v>92</v>
      </c>
      <c r="Y2" s="40" t="s">
        <v>130</v>
      </c>
      <c r="Z2" s="38" t="s">
        <v>29</v>
      </c>
      <c r="AA2" s="38" t="s">
        <v>136</v>
      </c>
      <c r="AB2" s="39" t="s">
        <v>63</v>
      </c>
      <c r="AC2" s="39" t="s">
        <v>120</v>
      </c>
      <c r="AD2" s="40" t="s">
        <v>100</v>
      </c>
      <c r="AE2" s="40" t="s">
        <v>131</v>
      </c>
      <c r="AO2" s="43"/>
      <c r="AP2" s="43"/>
    </row>
    <row r="3" spans="1:42" s="25" customFormat="1" x14ac:dyDescent="0.25">
      <c r="A3" s="34" t="s">
        <v>12</v>
      </c>
      <c r="B3" s="8">
        <v>222</v>
      </c>
      <c r="C3" s="10">
        <f>Tabela14[Najniższa kwota]/Tabela14[koszt namalowania za m1]*Tabela14[Waga]</f>
        <v>30</v>
      </c>
      <c r="D3" s="36">
        <v>332.1</v>
      </c>
      <c r="E3" s="35">
        <f>Tabela14[Najniższa kwota]/Tabela14[koszt namalowania za m3]*Tabela14[Waga]</f>
        <v>20.054200542005418</v>
      </c>
      <c r="F3" s="35">
        <v>30</v>
      </c>
      <c r="G3" s="36">
        <f>Tabela14[koszt namalowania za m1]</f>
        <v>222</v>
      </c>
      <c r="H3" s="8">
        <v>117</v>
      </c>
      <c r="I3" s="10">
        <f>Tabela14[Najniższa kwota2]/Tabela14[koszt powierzchni za m2 z widownią 
od 500 000 do 750 000 osób na miesiąc]*Tabela14[Waga2]</f>
        <v>10</v>
      </c>
      <c r="J3" s="36">
        <v>425.75</v>
      </c>
      <c r="K3" s="35">
        <f>Tabela14[Najniższa kwota2]/Tabela14[koszt powierzchni za m2 z widownią 
od 500 000 do 750 000 osób na miesiąc3]*Tabela14[Waga2]</f>
        <v>2.7480916030534353</v>
      </c>
      <c r="L3" s="35">
        <v>10</v>
      </c>
      <c r="M3" s="36">
        <f>Tabela14[koszt powierzchni za m2 z widownią 
od 500 000 do 750 000 osób na miesiąc]</f>
        <v>117</v>
      </c>
      <c r="N3" s="8">
        <v>123</v>
      </c>
      <c r="O3" s="10">
        <f>Tabela14[Najniższa kwota3]/Tabela14[koszt powierzchni za m2 z widownią 
 od 750 000 do 1 000 000 osób na miesiąc]*Tabela14[Waga3]</f>
        <v>15</v>
      </c>
      <c r="P3" s="36">
        <v>425.75</v>
      </c>
      <c r="Q3" s="35">
        <f>Tabela14[Najniższa kwota3]/Tabela14[koszt powierzchni za m2 z widownią 
 od 750 000 do 1 000 000 osób na miesiąc3]*Tabela14[Waga3]</f>
        <v>4.3335290663534938</v>
      </c>
      <c r="R3" s="35">
        <v>15</v>
      </c>
      <c r="S3" s="36">
        <f>Tabela14[koszt powierzchni za m2 z widownią 
 od 750 000 do 1 000 000 osób na miesiąc]</f>
        <v>123</v>
      </c>
      <c r="T3" s="8">
        <v>143</v>
      </c>
      <c r="U3" s="10">
        <f>Tabela14[Najniższa kwota4]/Tabela14[koszt powierzchni za m2 z widownią 
 od 1 000 000 do 1 500 000 osób na miesiąc]*Tabela14[Waga4]</f>
        <v>20</v>
      </c>
      <c r="V3" s="36">
        <v>570.52</v>
      </c>
      <c r="W3" s="35">
        <f>Tabela14[Najniższa kwota4]/Tabela14[koszt powierzchni za m2 z widownią 
 od 1 000 000 do 1 500 000 osób na miesiąc3]*Tabela14[Waga4]</f>
        <v>5.0129706232910332</v>
      </c>
      <c r="X3" s="35">
        <v>20</v>
      </c>
      <c r="Y3" s="36">
        <f>Tabela14[koszt powierzchni za m2 z widownią 
 od 1 000 000 do 1 500 000 osób na miesiąc]</f>
        <v>143</v>
      </c>
      <c r="Z3" s="8">
        <v>195</v>
      </c>
      <c r="AA3" s="10">
        <f>Tabela14[Najniższa kwota5]/Tabela14[koszt powierzchni za m2 z widownią 
powyżej 1 500 000 na miesiąc]*Tabela14[Waga5]</f>
        <v>25</v>
      </c>
      <c r="AB3" s="36">
        <v>570.52</v>
      </c>
      <c r="AC3" s="35">
        <f>Tabela14[Najniższa kwota5]/Tabela14[koszt powierzchni za m2 z widownią 
powyżej 1 500 000 na miesiąc3]*Tabela14[Waga5]</f>
        <v>8.5448362897006245</v>
      </c>
      <c r="AD3" s="35">
        <v>25</v>
      </c>
      <c r="AE3" s="36">
        <f>Tabela14[koszt powierzchni za m2 z widownią 
powyżej 1 500 000 na miesiąc]</f>
        <v>195</v>
      </c>
    </row>
    <row r="4" spans="1:42" s="33" customFormat="1" x14ac:dyDescent="0.25">
      <c r="B4" s="42"/>
      <c r="C4" s="42"/>
      <c r="D4" s="42"/>
      <c r="E4" s="42"/>
      <c r="F4" s="42"/>
      <c r="G4" s="42"/>
    </row>
    <row r="5" spans="1:42" x14ac:dyDescent="0.25">
      <c r="B5" s="17" t="s">
        <v>53</v>
      </c>
      <c r="C5" s="44">
        <f>Tabela14[SIMGA pkt]+Tabela14[SIMGA pkt2]+Tabela14[SIMGA pkt3]+Tabela14[SIMGA pkt4]+Tabela14[SIMGA pkt5]</f>
        <v>100</v>
      </c>
    </row>
    <row r="6" spans="1:42" x14ac:dyDescent="0.25">
      <c r="B6" s="17" t="s">
        <v>54</v>
      </c>
      <c r="C6" s="44">
        <f>Tabela14[Stroer pkt]+Tabela14[Stroer pkt2]+Tabela14[Stroer pkt3]+Tabela14[Stroer pkt4]+Tabela14[Stroer pkt5]</f>
        <v>40.693628124404007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"/>
  <sheetViews>
    <sheetView zoomScale="80" zoomScaleNormal="80" workbookViewId="0">
      <selection activeCell="E3" sqref="E3"/>
    </sheetView>
  </sheetViews>
  <sheetFormatPr defaultRowHeight="15" x14ac:dyDescent="0.25"/>
  <cols>
    <col min="1" max="1" width="42.85546875" customWidth="1"/>
    <col min="2" max="7" width="21.5703125" customWidth="1"/>
    <col min="8" max="13" width="21.42578125" customWidth="1"/>
    <col min="14" max="19" width="21.5703125" style="2" customWidth="1"/>
    <col min="20" max="25" width="21.28515625" customWidth="1"/>
    <col min="26" max="31" width="21.42578125" customWidth="1"/>
    <col min="32" max="37" width="21.5703125" customWidth="1"/>
  </cols>
  <sheetData>
    <row r="2" spans="1:37" s="32" customFormat="1" ht="48" x14ac:dyDescent="0.2">
      <c r="A2" s="27" t="s">
        <v>0</v>
      </c>
      <c r="B2" s="45" t="s">
        <v>81</v>
      </c>
      <c r="C2" s="45" t="s">
        <v>146</v>
      </c>
      <c r="D2" s="31" t="s">
        <v>82</v>
      </c>
      <c r="E2" s="31" t="s">
        <v>116</v>
      </c>
      <c r="F2" s="26" t="s">
        <v>123</v>
      </c>
      <c r="G2" s="26" t="s">
        <v>128</v>
      </c>
      <c r="H2" s="45" t="s">
        <v>25</v>
      </c>
      <c r="I2" s="45" t="s">
        <v>147</v>
      </c>
      <c r="J2" s="31" t="s">
        <v>65</v>
      </c>
      <c r="K2" s="31" t="s">
        <v>117</v>
      </c>
      <c r="L2" s="26" t="s">
        <v>90</v>
      </c>
      <c r="M2" s="26" t="s">
        <v>129</v>
      </c>
      <c r="N2" s="48" t="s">
        <v>30</v>
      </c>
      <c r="O2" s="45" t="s">
        <v>148</v>
      </c>
      <c r="P2" s="49" t="s">
        <v>66</v>
      </c>
      <c r="Q2" s="31" t="s">
        <v>118</v>
      </c>
      <c r="R2" s="26" t="s">
        <v>91</v>
      </c>
      <c r="S2" s="26" t="s">
        <v>130</v>
      </c>
      <c r="T2" s="45" t="s">
        <v>31</v>
      </c>
      <c r="U2" s="45" t="s">
        <v>149</v>
      </c>
      <c r="V2" s="31" t="s">
        <v>68</v>
      </c>
      <c r="W2" s="31" t="s">
        <v>119</v>
      </c>
      <c r="X2" s="26" t="s">
        <v>92</v>
      </c>
      <c r="Y2" s="26" t="s">
        <v>131</v>
      </c>
      <c r="Z2" s="45" t="s">
        <v>32</v>
      </c>
      <c r="AA2" s="45" t="s">
        <v>150</v>
      </c>
      <c r="AB2" s="31" t="s">
        <v>69</v>
      </c>
      <c r="AC2" s="31" t="s">
        <v>120</v>
      </c>
      <c r="AD2" s="26" t="s">
        <v>100</v>
      </c>
      <c r="AE2" s="26" t="s">
        <v>152</v>
      </c>
      <c r="AF2" s="45" t="s">
        <v>33</v>
      </c>
      <c r="AG2" s="45" t="s">
        <v>151</v>
      </c>
      <c r="AH2" s="31" t="s">
        <v>67</v>
      </c>
      <c r="AI2" s="31" t="s">
        <v>121</v>
      </c>
      <c r="AJ2" s="26" t="s">
        <v>110</v>
      </c>
      <c r="AK2" s="50" t="s">
        <v>132</v>
      </c>
    </row>
    <row r="3" spans="1:37" s="25" customFormat="1" x14ac:dyDescent="0.25">
      <c r="A3" s="34" t="s">
        <v>34</v>
      </c>
      <c r="B3" s="8">
        <v>25</v>
      </c>
      <c r="C3" s="10">
        <f>Tabela15[Najniższa kwota]/Tabela15[koszt za m2 wydruku]*Tabela15[Waga]</f>
        <v>25</v>
      </c>
      <c r="D3" s="8">
        <v>30.75</v>
      </c>
      <c r="E3" s="10">
        <f>Tabela15[Najniższa kwota]/Tabela15[koszt za m2 wydruku3]*Tabela15[Waga]</f>
        <v>20.325203252032519</v>
      </c>
      <c r="F3" s="10">
        <v>25</v>
      </c>
      <c r="G3" s="8">
        <f>Tabela15[koszt za m2 wydruku]</f>
        <v>25</v>
      </c>
      <c r="H3" s="8">
        <v>95</v>
      </c>
      <c r="I3" s="10">
        <f>Tabela15[Najniższa kwota3]/Tabela15[koszt powierzchni za m2 widownią 
od 500 000 do 750 000 osób na miesiąc]*Tabela15[Waga2]</f>
        <v>10</v>
      </c>
      <c r="J3" s="8">
        <v>301.35000000000002</v>
      </c>
      <c r="K3" s="10">
        <f>Tabela15[Najniższa kwota3]/Tabela15[koszt powierzchni za m2 widownią 
od 500 000 do 750 000 osób na miesiąc3]*Tabela15[Waga2]</f>
        <v>3.1524805043968804</v>
      </c>
      <c r="L3" s="10">
        <v>10</v>
      </c>
      <c r="M3" s="8">
        <f>Tabela15[koszt powierzchni za m2 widownią 
od 500 000 do 750 000 osób na miesiąc]</f>
        <v>95</v>
      </c>
      <c r="N3" s="8">
        <v>155</v>
      </c>
      <c r="O3" s="10">
        <f>Tabela15[Najniższa kwota4]/Tabela15[koszt powierzchni za m2 widownią 
 od 750 000 do 1 000 000 osób na miesiąc]*Tabela15[Waga3]</f>
        <v>13</v>
      </c>
      <c r="P3" s="8">
        <v>301.35000000000002</v>
      </c>
      <c r="Q3" s="10">
        <f>Tabela15[Najniższa kwota4]/Tabela15[koszt powierzchni za m2 widownią 
 od 750 000 do 1 000 000 osób na miesiąc3]*Tabela15[Waga3]</f>
        <v>6.6865770698523308</v>
      </c>
      <c r="R3" s="10">
        <v>13</v>
      </c>
      <c r="S3" s="8">
        <f>Tabela15[koszt powierzchni za m2 widownią 
 od 750 000 do 1 000 000 osób na miesiąc]</f>
        <v>155</v>
      </c>
      <c r="T3" s="8">
        <v>155</v>
      </c>
      <c r="U3" s="10">
        <f>Tabela15[Najniższa kwota5]/Tabela15[koszt powierzchni za m2 widownią 
 od 1 000 000 do 1 500 000 osób na miesiąc]*Tabela15[Waga4]</f>
        <v>15</v>
      </c>
      <c r="V3" s="8">
        <v>301.35000000000002</v>
      </c>
      <c r="W3" s="10">
        <f>Tabela15[Najniższa kwota5]/Tabela15[koszt powierzchni za m2 widownią 
 od 1 000 000 do 1 500 000 osób na miesiąc22]*Tabela15[Waga4]</f>
        <v>7.7152812344449968</v>
      </c>
      <c r="X3" s="10">
        <v>15</v>
      </c>
      <c r="Y3" s="8">
        <f>Tabela15[koszt powierzchni za m2 widownią 
 od 1 000 000 do 1 500 000 osób na miesiąc]</f>
        <v>155</v>
      </c>
      <c r="Z3" s="8">
        <v>195</v>
      </c>
      <c r="AA3" s="10">
        <f>Tabela15[Najniższa kwota6]/Tabela15[koszt powierzchni za m2 widownią 
od 1 500 000 do 2 000 000 osób na miesiąc]*Tabela15[Waga5]</f>
        <v>17</v>
      </c>
      <c r="AB3" s="8">
        <v>301.35000000000002</v>
      </c>
      <c r="AC3" s="10">
        <f>Tabela15[Najniższa kwota6]/Tabela15[koszt powierzchni za m2 widownią 
od 1 500 000 do 2 000 000 osób na miesiąc22]*Tabela15[Waga5]</f>
        <v>11.000497760079641</v>
      </c>
      <c r="AD3" s="10">
        <v>17</v>
      </c>
      <c r="AE3" s="8">
        <f>Tabela15[koszt powierzchni za m2 widownią 
od 1 500 000 do 2 000 000 osób na miesiąc]</f>
        <v>195</v>
      </c>
      <c r="AF3" s="8">
        <v>195</v>
      </c>
      <c r="AG3" s="10">
        <f>Tabela15[Najniższa kwota2]/Tabela15[koszt powierzchni za m2 widownią 
powyżej 2 000 000 na miesiąc]*Tabela15[Waga6]</f>
        <v>20</v>
      </c>
      <c r="AH3" s="8">
        <v>301.35000000000002</v>
      </c>
      <c r="AI3" s="10">
        <f>Tabela15[Najniższa kwota2]/Tabela15[koszt powierzchni za m2 widownią 
powyżej 2 000 000 na miesiąc3]*Tabela15[Waga6]</f>
        <v>12.94176207068193</v>
      </c>
      <c r="AJ3" s="10">
        <v>20</v>
      </c>
      <c r="AK3" s="8">
        <f>Tabela15[koszt powierzchni za m2 widownią 
powyżej 2 000 000 na miesiąc]</f>
        <v>195</v>
      </c>
    </row>
    <row r="5" spans="1:37" x14ac:dyDescent="0.25">
      <c r="B5" s="17" t="s">
        <v>53</v>
      </c>
      <c r="C5" s="44">
        <f>Tabela15[Sigma pkt]+Tabela15[Sigma pkt2]+Tabela15[Sigma pkt3]+Tabela15[Sigma pkt4]+Tabela15[Sigma pkt5]+Tabela15[Sigma pkt6]</f>
        <v>100</v>
      </c>
    </row>
    <row r="6" spans="1:37" x14ac:dyDescent="0.25">
      <c r="B6" s="17" t="s">
        <v>54</v>
      </c>
      <c r="C6" s="44">
        <f>Tabela15[Stroer pkt]+Tabela15[Stroer pkt2]+Tabela15[Stroer pkt3]+Tabela15[Stroer pkt4]+Tabela15[Stroer pkt5]+Tabela15[Stroer pkt6]</f>
        <v>61.821801891488299</v>
      </c>
    </row>
  </sheetData>
  <pageMargins left="0.7" right="0.7" top="0.75" bottom="0.75" header="0.3" footer="0.3"/>
  <pageSetup paperSize="9" orientation="portrait" copies="2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10"/>
  <sheetViews>
    <sheetView topLeftCell="AY1" zoomScale="80" zoomScaleNormal="80" workbookViewId="0">
      <selection activeCell="I13" sqref="I13"/>
    </sheetView>
  </sheetViews>
  <sheetFormatPr defaultRowHeight="15" x14ac:dyDescent="0.25"/>
  <cols>
    <col min="1" max="1" width="42.85546875" customWidth="1"/>
    <col min="2" max="61" width="21.7109375" customWidth="1"/>
  </cols>
  <sheetData>
    <row r="2" spans="1:61" s="33" customFormat="1" ht="75.75" customHeight="1" x14ac:dyDescent="0.25">
      <c r="A2" s="51" t="s">
        <v>0</v>
      </c>
      <c r="B2" s="52" t="s">
        <v>16</v>
      </c>
      <c r="C2" s="52" t="s">
        <v>83</v>
      </c>
      <c r="D2" s="53" t="s">
        <v>71</v>
      </c>
      <c r="E2" s="53" t="s">
        <v>116</v>
      </c>
      <c r="F2" s="26" t="s">
        <v>123</v>
      </c>
      <c r="G2" s="26" t="s">
        <v>128</v>
      </c>
      <c r="H2" s="52" t="s">
        <v>19</v>
      </c>
      <c r="I2" s="52" t="s">
        <v>85</v>
      </c>
      <c r="J2" s="53" t="s">
        <v>72</v>
      </c>
      <c r="K2" s="53" t="s">
        <v>117</v>
      </c>
      <c r="L2" s="26" t="s">
        <v>90</v>
      </c>
      <c r="M2" s="26" t="s">
        <v>129</v>
      </c>
      <c r="N2" s="52" t="s">
        <v>17</v>
      </c>
      <c r="O2" s="52" t="s">
        <v>94</v>
      </c>
      <c r="P2" s="53" t="s">
        <v>73</v>
      </c>
      <c r="Q2" s="53" t="s">
        <v>118</v>
      </c>
      <c r="R2" s="26" t="s">
        <v>91</v>
      </c>
      <c r="S2" s="26" t="s">
        <v>130</v>
      </c>
      <c r="T2" s="52" t="s">
        <v>18</v>
      </c>
      <c r="U2" s="52" t="s">
        <v>98</v>
      </c>
      <c r="V2" s="53" t="s">
        <v>74</v>
      </c>
      <c r="W2" s="53" t="s">
        <v>119</v>
      </c>
      <c r="X2" s="26" t="s">
        <v>92</v>
      </c>
      <c r="Y2" s="26" t="s">
        <v>131</v>
      </c>
      <c r="Z2" s="52" t="s">
        <v>20</v>
      </c>
      <c r="AA2" s="52" t="s">
        <v>102</v>
      </c>
      <c r="AB2" s="53" t="s">
        <v>75</v>
      </c>
      <c r="AC2" s="53" t="s">
        <v>120</v>
      </c>
      <c r="AD2" s="26" t="s">
        <v>100</v>
      </c>
      <c r="AE2" s="26" t="s">
        <v>152</v>
      </c>
      <c r="AF2" s="52" t="s">
        <v>21</v>
      </c>
      <c r="AG2" s="52" t="s">
        <v>114</v>
      </c>
      <c r="AH2" s="53" t="s">
        <v>77</v>
      </c>
      <c r="AI2" s="53" t="s">
        <v>121</v>
      </c>
      <c r="AJ2" s="26" t="s">
        <v>110</v>
      </c>
      <c r="AK2" s="26" t="s">
        <v>159</v>
      </c>
      <c r="AL2" s="52" t="s">
        <v>22</v>
      </c>
      <c r="AM2" s="52" t="s">
        <v>115</v>
      </c>
      <c r="AN2" s="53" t="s">
        <v>76</v>
      </c>
      <c r="AO2" s="53" t="s">
        <v>122</v>
      </c>
      <c r="AP2" s="26" t="s">
        <v>111</v>
      </c>
      <c r="AQ2" s="26" t="s">
        <v>160</v>
      </c>
      <c r="AR2" s="52" t="s">
        <v>80</v>
      </c>
      <c r="AS2" s="52" t="s">
        <v>153</v>
      </c>
      <c r="AT2" s="53" t="s">
        <v>70</v>
      </c>
      <c r="AU2" s="53" t="s">
        <v>156</v>
      </c>
      <c r="AV2" s="26" t="s">
        <v>112</v>
      </c>
      <c r="AW2" s="26" t="s">
        <v>161</v>
      </c>
      <c r="AX2" s="52" t="s">
        <v>23</v>
      </c>
      <c r="AY2" s="52" t="s">
        <v>154</v>
      </c>
      <c r="AZ2" s="53" t="s">
        <v>78</v>
      </c>
      <c r="BA2" s="53" t="s">
        <v>157</v>
      </c>
      <c r="BB2" s="26" t="s">
        <v>113</v>
      </c>
      <c r="BC2" s="26" t="s">
        <v>162</v>
      </c>
      <c r="BD2" s="52" t="s">
        <v>24</v>
      </c>
      <c r="BE2" s="52" t="s">
        <v>155</v>
      </c>
      <c r="BF2" s="53" t="s">
        <v>79</v>
      </c>
      <c r="BG2" s="53" t="s">
        <v>158</v>
      </c>
      <c r="BH2" s="26" t="s">
        <v>163</v>
      </c>
      <c r="BI2" s="19" t="s">
        <v>132</v>
      </c>
    </row>
    <row r="3" spans="1:61" s="25" customFormat="1" x14ac:dyDescent="0.25">
      <c r="A3" s="34" t="s">
        <v>13</v>
      </c>
      <c r="B3" s="8">
        <v>7.0000000000000007E-2</v>
      </c>
      <c r="C3" s="10">
        <f>Tabela17[[#This Row],[Najniższa kwota]]/Tabela17[[#This Row],[koszt 1 emisji 10 s. na nośniku z widownią do 30 000 osób na miesiąc,]]*Tabela17[[#This Row],[Waga]]</f>
        <v>1</v>
      </c>
      <c r="D3" s="8">
        <v>0.11</v>
      </c>
      <c r="E3" s="10">
        <f>Tabela17[[#This Row],[Najniższa kwota]]/Tabela17[[#This Row],[koszt 1 emisji 10 s. na nośniku z widownią do 30 000 osób na miesiąc,3]]*Tabela17[[#This Row],[Waga]]</f>
        <v>0.63636363636363646</v>
      </c>
      <c r="F3" s="4">
        <v>1</v>
      </c>
      <c r="G3" s="8">
        <f>Tabela17[[#This Row],[koszt 1 emisji 10 s. na nośniku z widownią do 30 000 osób na miesiąc,]]</f>
        <v>7.0000000000000007E-2</v>
      </c>
      <c r="H3" s="8">
        <v>0.09</v>
      </c>
      <c r="I3" s="10">
        <f>Tabela17[[#This Row],[Najniższa kwota3]]/Tabela17[[#This Row],[koszt 1 emisji 15 s. na nośniku z widownią do 30 000 osób na miesiąc]]*Tabela17[[#This Row],[Waga2]]</f>
        <v>1.5</v>
      </c>
      <c r="J3" s="8">
        <v>0.14000000000000001</v>
      </c>
      <c r="K3" s="10">
        <f>Tabela17[[#This Row],[Najniższa kwota3]]/Tabela17[[#This Row],[koszt 1 emisji 15 s. na nośniku z widownią do 30 000 osób na miesiąc3]]*Tabela17[[#This Row],[Waga2]]</f>
        <v>0.96428571428571419</v>
      </c>
      <c r="L3" s="4">
        <v>1.5</v>
      </c>
      <c r="M3" s="8">
        <f>Tabela17[[#This Row],[koszt 1 emisji 15 s. na nośniku z widownią do 30 000 osób na miesiąc]]</f>
        <v>0.09</v>
      </c>
      <c r="N3" s="8">
        <v>0.57999999999999996</v>
      </c>
      <c r="O3" s="10">
        <f>Tabela17[[#This Row],[Najniższa kwota4]]/Tabela17[[#This Row],[koszt 1 emisji 10 s. na nośniku z widownią od 30 000 do 45 000 osób na miesiąc]]*Tabela17[[#This Row],[Waga3]]</f>
        <v>0.37931034482758624</v>
      </c>
      <c r="P3" s="8">
        <v>0.11</v>
      </c>
      <c r="Q3" s="10">
        <f>Tabela17[[#This Row],[Najniższa kwota4]]/Tabela17[[#This Row],[koszt 1 emisji 10 s. na nośniku z widownią od 30 000 do 45 000 osób na miesiąc3]]*Tabela17[[#This Row],[Waga3]]</f>
        <v>2</v>
      </c>
      <c r="R3" s="4">
        <v>2</v>
      </c>
      <c r="S3" s="8">
        <f>Tabela17[[#This Row],[koszt 1 emisji 10 s. na nośniku z widownią od 30 000 do 45 000 osób na miesiąc3]]</f>
        <v>0.11</v>
      </c>
      <c r="T3" s="8">
        <v>0.57999999999999996</v>
      </c>
      <c r="U3" s="10">
        <f>Tabela17[[#This Row],[Najniższa kwota5]]/Tabela17[[#This Row],[koszt 1 emisji 15 s. na nośniku z widownią od 30 000 do 45 000 osób na miesiąc]]*Tabela17[[#This Row],[Waga4]]</f>
        <v>0.60344827586206906</v>
      </c>
      <c r="V3" s="8">
        <v>0.14000000000000001</v>
      </c>
      <c r="W3" s="10">
        <f>Tabela17[[#This Row],[Najniższa kwota5]]/Tabela17[[#This Row],[koszt 1 emisji 15 s. na nośniku z widownią od 30 000 do 45 000 osób na miesiąc3]]*Tabela17[[#This Row],[Waga4]]</f>
        <v>2.5</v>
      </c>
      <c r="X3" s="4">
        <v>2.5</v>
      </c>
      <c r="Y3" s="8">
        <f>Tabela17[[#This Row],[koszt 1 emisji 15 s. na nośniku z widownią od 30 000 do 45 000 osób na miesiąc3]]</f>
        <v>0.14000000000000001</v>
      </c>
      <c r="Z3" s="8">
        <v>0.57999999999999996</v>
      </c>
      <c r="AA3" s="10">
        <f>Tabela17[[#This Row],[Najniższa kwota6]]/Tabela17[[#This Row],[koszt 1 emisji 10 s. na nośniku z widownią od 45 000 do 60 000 osób na miesiąc]]*Tabela17[[#This Row],[Waga5]]</f>
        <v>0.56896551724137934</v>
      </c>
      <c r="AB3" s="8">
        <v>0.11</v>
      </c>
      <c r="AC3" s="10">
        <f>Tabela17[[#This Row],[Najniższa kwota6]]/Tabela17[[#This Row],[koszt 1 emisji 10 s. na nośniku z widownią od 45 000 do 60 000 osób na miesiąc3]]*Tabela17[[#This Row],[Waga5]]</f>
        <v>3</v>
      </c>
      <c r="AD3" s="4">
        <v>3</v>
      </c>
      <c r="AE3" s="8">
        <f>Tabela17[[#This Row],[koszt 1 emisji 10 s. na nośniku z widownią od 45 000 do 60 000 osób na miesiąc3]]</f>
        <v>0.11</v>
      </c>
      <c r="AF3" s="8">
        <v>0.57999999999999996</v>
      </c>
      <c r="AG3" s="10">
        <f>Tabela17[[#This Row],[Najniższa kwota7]]/Tabela17[[#This Row],[koszt 1 emisji 15 s. na nośniku z widownią od 45 000 do 60 000 osób na miesiąc]]*Tabela17[[#This Row],[Waga6]]</f>
        <v>0.84482758620689669</v>
      </c>
      <c r="AH3" s="8">
        <v>0.14000000000000001</v>
      </c>
      <c r="AI3" s="10">
        <f>Tabela17[[#This Row],[Najniższa kwota7]]/Tabela17[[#This Row],[koszt 1 emisji 15 s. na nośniku z widownią od 45 000 do 60 000 osób na miesiąc3]]*Tabela17[[#This Row],[Waga6]]</f>
        <v>3.5</v>
      </c>
      <c r="AJ3" s="4">
        <v>3.5</v>
      </c>
      <c r="AK3" s="8">
        <f>Tabela17[[#This Row],[koszt 1 emisji 15 s. na nośniku z widownią od 45 000 do 60 000 osób na miesiąc3]]</f>
        <v>0.14000000000000001</v>
      </c>
      <c r="AL3" s="8">
        <v>0.57999999999999996</v>
      </c>
      <c r="AM3" s="10">
        <f>Tabela17[[#This Row],[Najniższa kwota8]]/Tabela17[[#This Row],[koszt 1 emisji 10 s. na nośniku z widownią od 60 000 do 75 000 osób na miesiąc]]*Tabela17[[#This Row],[Waga7]]</f>
        <v>0.75862068965517249</v>
      </c>
      <c r="AN3" s="8">
        <v>0.11</v>
      </c>
      <c r="AO3" s="10">
        <f>Tabela17[[#This Row],[Najniższa kwota8]]/Tabela17[[#This Row],[koszt 1 emisji 10 s. na nośniku z widownią od 60 000 do 75 000 osób na miesiąc3]]*Tabela17[[#This Row],[Waga7]]</f>
        <v>4</v>
      </c>
      <c r="AP3" s="4">
        <v>4</v>
      </c>
      <c r="AQ3" s="8">
        <f>Tabela17[[#This Row],[koszt 1 emisji 10 s. na nośniku z widownią od 60 000 do 75 000 osób na miesiąc3]]</f>
        <v>0.11</v>
      </c>
      <c r="AR3" s="8">
        <v>0.57999999999999996</v>
      </c>
      <c r="AS3" s="10">
        <f>Tabela17[[#This Row],[Najniższa kwota9]]/Tabela17[[#This Row],[koszt 1 emisji 15 s. na nośniku z widownią od 60 000 do 75 000 osób na miesiąc]]*Tabela17[[#This Row],[Waga8]]</f>
        <v>1.0862068965517242</v>
      </c>
      <c r="AT3" s="8">
        <v>0.14000000000000001</v>
      </c>
      <c r="AU3" s="10">
        <f>Tabela17[[#This Row],[Najniższa kwota9]]/Tabela17[[#This Row],[koszt 1 emisji 15 s. na nośniku z widownią od 60 000 do 75 000 osób na miesiąc3]]*Tabela17[[#This Row],[Waga8]]</f>
        <v>4.5</v>
      </c>
      <c r="AV3" s="4">
        <v>4.5</v>
      </c>
      <c r="AW3" s="8">
        <f>Tabela17[[#This Row],[koszt 1 emisji 15 s. na nośniku z widownią od 60 000 do 75 000 osób na miesiąc3]]</f>
        <v>0.14000000000000001</v>
      </c>
      <c r="AX3" s="8">
        <v>0.96</v>
      </c>
      <c r="AY3" s="10">
        <f>Tabela17[[#This Row],[Najniższa kwota10]]/Tabela17[[#This Row],[koszt 1 emisji 10 s. na nośniku z widownią powyżej 75 000 osób na miesiąc.]]*Tabela17[[#This Row],[Waga9]]</f>
        <v>0.57291666666666674</v>
      </c>
      <c r="AZ3" s="8">
        <v>0.11</v>
      </c>
      <c r="BA3" s="10">
        <f>Tabela17[[#This Row],[Najniższa kwota10]]/Tabela17[[#This Row],[koszt 1 emisji 10 s. na nośniku z widownią powyżej 75 000 osób na miesiąc.3]]*Tabela17[[#This Row],[Waga9]]</f>
        <v>5</v>
      </c>
      <c r="BB3" s="4">
        <v>5</v>
      </c>
      <c r="BC3" s="8">
        <f>Tabela17[[#This Row],[koszt 1 emisji 10 s. na nośniku z widownią powyżej 75 000 osób na miesiąc.3]]</f>
        <v>0.11</v>
      </c>
      <c r="BD3" s="8">
        <v>0.96</v>
      </c>
      <c r="BE3" s="10">
        <f>Tabela17[[#This Row],[Najniższa kwota2]]/Tabela17[[#This Row],[koszt 1 emisji 15 s. na nośniku z widownią powyżej 75 000 osób na miesiąc]]*Tabela17[[#This Row],[Waga10]]</f>
        <v>0.80208333333333337</v>
      </c>
      <c r="BF3" s="8">
        <v>0.14000000000000001</v>
      </c>
      <c r="BG3" s="10">
        <f>Tabela17[[#This Row],[Najniższa kwota2]]/Tabela17[[#This Row],[koszt 1 emisji 15 s. na nośniku z widownią powyżej 75 000 osób na miesiąc3]]*Tabela17[[#This Row],[Waga10]]</f>
        <v>5.5</v>
      </c>
      <c r="BH3" s="4">
        <v>5.5</v>
      </c>
      <c r="BI3" s="8">
        <f>Tabela17[[#This Row],[koszt 1 emisji 15 s. na nośniku z widownią powyżej 75 000 osób na miesiąc3]]</f>
        <v>0.14000000000000001</v>
      </c>
    </row>
    <row r="4" spans="1:61" s="25" customFormat="1" x14ac:dyDescent="0.25">
      <c r="A4" s="34" t="s">
        <v>14</v>
      </c>
      <c r="B4" s="8">
        <v>0.31</v>
      </c>
      <c r="C4" s="10">
        <f>Tabela17[[#This Row],[Najniższa kwota]]/Tabela17[[#This Row],[koszt 1 emisji 10 s. na nośniku z widownią do 30 000 osób na miesiąc,]]*Tabela17[[#This Row],[Waga]]</f>
        <v>0.35483870967741937</v>
      </c>
      <c r="D4" s="8">
        <v>0.11</v>
      </c>
      <c r="E4" s="10">
        <f>Tabela17[[#This Row],[Najniższa kwota]]/Tabela17[[#This Row],[koszt 1 emisji 10 s. na nośniku z widownią do 30 000 osób na miesiąc,3]]*Tabela17[[#This Row],[Waga]]</f>
        <v>1</v>
      </c>
      <c r="F4" s="4">
        <v>1</v>
      </c>
      <c r="G4" s="8">
        <f>Tabela17[[#This Row],[koszt 1 emisji 10 s. na nośniku z widownią do 30 000 osób na miesiąc,3]]</f>
        <v>0.11</v>
      </c>
      <c r="H4" s="8">
        <v>0.47</v>
      </c>
      <c r="I4" s="10">
        <f>Tabela17[[#This Row],[Najniższa kwota3]]/Tabela17[[#This Row],[koszt 1 emisji 15 s. na nośniku z widownią do 30 000 osób na miesiąc]]*Tabela17[[#This Row],[Waga2]]</f>
        <v>0.44680851063829796</v>
      </c>
      <c r="J4" s="8">
        <v>0.14000000000000001</v>
      </c>
      <c r="K4" s="10">
        <f>Tabela17[[#This Row],[Najniższa kwota3]]/Tabela17[[#This Row],[koszt 1 emisji 15 s. na nośniku z widownią do 30 000 osób na miesiąc3]]*Tabela17[[#This Row],[Waga2]]</f>
        <v>1.5</v>
      </c>
      <c r="L4" s="4">
        <v>1.5</v>
      </c>
      <c r="M4" s="8">
        <f>Tabela17[[#This Row],[koszt 1 emisji 15 s. na nośniku z widownią do 30 000 osób na miesiąc3]]</f>
        <v>0.14000000000000001</v>
      </c>
      <c r="N4" s="8">
        <v>0.31</v>
      </c>
      <c r="O4" s="10">
        <f>Tabela17[[#This Row],[Najniższa kwota4]]/Tabela17[[#This Row],[koszt 1 emisji 10 s. na nośniku z widownią od 30 000 do 45 000 osób na miesiąc]]*Tabela17[[#This Row],[Waga3]]</f>
        <v>0.70967741935483875</v>
      </c>
      <c r="P4" s="8">
        <v>0.11</v>
      </c>
      <c r="Q4" s="10">
        <f>Tabela17[[#This Row],[Najniższa kwota4]]/Tabela17[[#This Row],[koszt 1 emisji 10 s. na nośniku z widownią od 30 000 do 45 000 osób na miesiąc3]]*Tabela17[[#This Row],[Waga3]]</f>
        <v>2</v>
      </c>
      <c r="R4" s="4">
        <v>2</v>
      </c>
      <c r="S4" s="8">
        <f>Tabela17[[#This Row],[koszt 1 emisji 10 s. na nośniku z widownią od 30 000 do 45 000 osób na miesiąc3]]</f>
        <v>0.11</v>
      </c>
      <c r="T4" s="8">
        <v>0.47</v>
      </c>
      <c r="U4" s="10">
        <f>Tabela17[[#This Row],[Najniższa kwota5]]/Tabela17[[#This Row],[koszt 1 emisji 15 s. na nośniku z widownią od 30 000 do 45 000 osób na miesiąc]]*Tabela17[[#This Row],[Waga4]]</f>
        <v>0.74468085106382986</v>
      </c>
      <c r="V4" s="8">
        <v>0.14000000000000001</v>
      </c>
      <c r="W4" s="10">
        <f>Tabela17[[#This Row],[Najniższa kwota5]]/Tabela17[[#This Row],[koszt 1 emisji 15 s. na nośniku z widownią od 30 000 do 45 000 osób na miesiąc3]]*Tabela17[[#This Row],[Waga4]]</f>
        <v>2.5</v>
      </c>
      <c r="X4" s="4">
        <v>2.5</v>
      </c>
      <c r="Y4" s="8">
        <f>Tabela17[[#This Row],[koszt 1 emisji 15 s. na nośniku z widownią od 30 000 do 45 000 osób na miesiąc3]]</f>
        <v>0.14000000000000001</v>
      </c>
      <c r="Z4" s="8">
        <v>0.31</v>
      </c>
      <c r="AA4" s="10">
        <f>Tabela17[[#This Row],[Najniższa kwota6]]/Tabela17[[#This Row],[koszt 1 emisji 10 s. na nośniku z widownią od 45 000 do 60 000 osób na miesiąc]]*Tabela17[[#This Row],[Waga5]]</f>
        <v>1.064516129032258</v>
      </c>
      <c r="AB4" s="8">
        <v>0.11</v>
      </c>
      <c r="AC4" s="10">
        <f>Tabela17[[#This Row],[Najniższa kwota6]]/Tabela17[[#This Row],[koszt 1 emisji 10 s. na nośniku z widownią od 45 000 do 60 000 osób na miesiąc3]]*Tabela17[[#This Row],[Waga5]]</f>
        <v>3</v>
      </c>
      <c r="AD4" s="4">
        <v>3</v>
      </c>
      <c r="AE4" s="8">
        <f>Tabela17[[#This Row],[koszt 1 emisji 10 s. na nośniku z widownią od 45 000 do 60 000 osób na miesiąc3]]</f>
        <v>0.11</v>
      </c>
      <c r="AF4" s="8">
        <v>0.47</v>
      </c>
      <c r="AG4" s="10">
        <f>Tabela17[[#This Row],[Najniższa kwota7]]/Tabela17[[#This Row],[koszt 1 emisji 15 s. na nośniku z widownią od 45 000 do 60 000 osób na miesiąc]]*Tabela17[[#This Row],[Waga6]]</f>
        <v>1.0425531914893618</v>
      </c>
      <c r="AH4" s="8">
        <v>0.14000000000000001</v>
      </c>
      <c r="AI4" s="10">
        <f>Tabela17[[#This Row],[Najniższa kwota7]]/Tabela17[[#This Row],[koszt 1 emisji 15 s. na nośniku z widownią od 45 000 do 60 000 osób na miesiąc3]]*Tabela17[[#This Row],[Waga6]]</f>
        <v>3.5</v>
      </c>
      <c r="AJ4" s="4">
        <v>3.5</v>
      </c>
      <c r="AK4" s="8">
        <f>Tabela17[[#This Row],[koszt 1 emisji 15 s. na nośniku z widownią od 45 000 do 60 000 osób na miesiąc3]]</f>
        <v>0.14000000000000001</v>
      </c>
      <c r="AL4" s="8">
        <v>0.31</v>
      </c>
      <c r="AM4" s="10">
        <f>Tabela17[[#This Row],[Najniższa kwota8]]/Tabela17[[#This Row],[koszt 1 emisji 10 s. na nośniku z widownią od 60 000 do 75 000 osób na miesiąc]]*Tabela17[[#This Row],[Waga7]]</f>
        <v>1.4193548387096775</v>
      </c>
      <c r="AN4" s="8">
        <v>0.11</v>
      </c>
      <c r="AO4" s="10">
        <f>Tabela17[[#This Row],[Najniższa kwota8]]/Tabela17[[#This Row],[koszt 1 emisji 10 s. na nośniku z widownią od 60 000 do 75 000 osób na miesiąc3]]*Tabela17[[#This Row],[Waga7]]</f>
        <v>4</v>
      </c>
      <c r="AP4" s="4">
        <v>4</v>
      </c>
      <c r="AQ4" s="8">
        <f>Tabela17[[#This Row],[koszt 1 emisji 10 s. na nośniku z widownią od 60 000 do 75 000 osób na miesiąc3]]</f>
        <v>0.11</v>
      </c>
      <c r="AR4" s="8">
        <v>0.47</v>
      </c>
      <c r="AS4" s="10">
        <f>Tabela17[[#This Row],[Najniższa kwota9]]/Tabela17[[#This Row],[koszt 1 emisji 15 s. na nośniku z widownią od 60 000 do 75 000 osób na miesiąc]]*Tabela17[[#This Row],[Waga8]]</f>
        <v>1.3404255319148939</v>
      </c>
      <c r="AT4" s="8">
        <v>0.14000000000000001</v>
      </c>
      <c r="AU4" s="10">
        <f>Tabela17[[#This Row],[Najniższa kwota9]]/Tabela17[[#This Row],[koszt 1 emisji 15 s. na nośniku z widownią od 60 000 do 75 000 osób na miesiąc3]]*Tabela17[[#This Row],[Waga8]]</f>
        <v>4.5</v>
      </c>
      <c r="AV4" s="4">
        <v>4.5</v>
      </c>
      <c r="AW4" s="8">
        <f>Tabela17[[#This Row],[koszt 1 emisji 15 s. na nośniku z widownią od 60 000 do 75 000 osób na miesiąc3]]</f>
        <v>0.14000000000000001</v>
      </c>
      <c r="AX4" s="8">
        <v>0.31</v>
      </c>
      <c r="AY4" s="10">
        <f>Tabela17[[#This Row],[Najniższa kwota10]]/Tabela17[[#This Row],[koszt 1 emisji 10 s. na nośniku z widownią powyżej 75 000 osób na miesiąc.]]*Tabela17[[#This Row],[Waga9]]</f>
        <v>1.774193548387097</v>
      </c>
      <c r="AZ4" s="8">
        <v>0.11</v>
      </c>
      <c r="BA4" s="10">
        <f>Tabela17[[#This Row],[Najniższa kwota10]]/Tabela17[[#This Row],[koszt 1 emisji 10 s. na nośniku z widownią powyżej 75 000 osób na miesiąc.3]]*Tabela17[[#This Row],[Waga9]]</f>
        <v>5</v>
      </c>
      <c r="BB4" s="4">
        <v>5</v>
      </c>
      <c r="BC4" s="8">
        <f>Tabela17[[#This Row],[koszt 1 emisji 10 s. na nośniku z widownią powyżej 75 000 osób na miesiąc.3]]</f>
        <v>0.11</v>
      </c>
      <c r="BD4" s="8">
        <v>0.47</v>
      </c>
      <c r="BE4" s="10">
        <f>Tabela17[[#This Row],[Najniższa kwota2]]/Tabela17[[#This Row],[koszt 1 emisji 15 s. na nośniku z widownią powyżej 75 000 osób na miesiąc]]*Tabela17[[#This Row],[Waga10]]</f>
        <v>1.6382978723404258</v>
      </c>
      <c r="BF4" s="8">
        <v>0.14000000000000001</v>
      </c>
      <c r="BG4" s="10">
        <f>Tabela17[[#This Row],[Najniższa kwota2]]/Tabela17[[#This Row],[koszt 1 emisji 15 s. na nośniku z widownią powyżej 75 000 osób na miesiąc3]]*Tabela17[[#This Row],[Waga10]]</f>
        <v>5.5</v>
      </c>
      <c r="BH4" s="4">
        <v>5.5</v>
      </c>
      <c r="BI4" s="8">
        <f>Tabela17[[#This Row],[koszt 1 emisji 15 s. na nośniku z widownią powyżej 75 000 osób na miesiąc3]]</f>
        <v>0.14000000000000001</v>
      </c>
    </row>
    <row r="5" spans="1:61" s="25" customFormat="1" x14ac:dyDescent="0.25">
      <c r="A5" s="34" t="s">
        <v>15</v>
      </c>
      <c r="B5" s="8">
        <v>0.22</v>
      </c>
      <c r="C5" s="10">
        <f>Tabela17[[#This Row],[Najniższa kwota]]/Tabela17[[#This Row],[koszt 1 emisji 10 s. na nośniku z widownią do 30 000 osób na miesiąc,]]*Tabela17[[#This Row],[Waga]]</f>
        <v>9.0909090909090912E-2</v>
      </c>
      <c r="D5" s="8">
        <v>0.02</v>
      </c>
      <c r="E5" s="10">
        <f>Tabela17[[#This Row],[Najniższa kwota]]/Tabela17[[#This Row],[koszt 1 emisji 10 s. na nośniku z widownią do 30 000 osób na miesiąc,3]]*Tabela17[[#This Row],[Waga]]</f>
        <v>1</v>
      </c>
      <c r="F5" s="4">
        <v>1</v>
      </c>
      <c r="G5" s="8">
        <f>Tabela17[[#This Row],[koszt 1 emisji 10 s. na nośniku z widownią do 30 000 osób na miesiąc,3]]</f>
        <v>0.02</v>
      </c>
      <c r="H5" s="8">
        <v>0.28000000000000003</v>
      </c>
      <c r="I5" s="10">
        <f>Tabela17[[#This Row],[Najniższa kwota3]]/Tabela17[[#This Row],[koszt 1 emisji 15 s. na nośniku z widownią do 30 000 osób na miesiąc]]*Tabela17[[#This Row],[Waga2]]</f>
        <v>0.10714285714285714</v>
      </c>
      <c r="J5" s="8">
        <v>0.02</v>
      </c>
      <c r="K5" s="10">
        <f>Tabela17[[#This Row],[Najniższa kwota3]]/Tabela17[[#This Row],[koszt 1 emisji 15 s. na nośniku z widownią do 30 000 osób na miesiąc3]]*Tabela17[[#This Row],[Waga2]]</f>
        <v>1.5</v>
      </c>
      <c r="L5" s="4">
        <v>1.5</v>
      </c>
      <c r="M5" s="8">
        <f>Tabela17[[#This Row],[koszt 1 emisji 15 s. na nośniku z widownią do 30 000 osób na miesiąc3]]</f>
        <v>0.02</v>
      </c>
      <c r="N5" s="8">
        <v>0.22</v>
      </c>
      <c r="O5" s="10">
        <f>Tabela17[[#This Row],[Najniższa kwota4]]/Tabela17[[#This Row],[koszt 1 emisji 10 s. na nośniku z widownią od 30 000 do 45 000 osób na miesiąc]]*Tabela17[[#This Row],[Waga3]]</f>
        <v>0.18181818181818182</v>
      </c>
      <c r="P5" s="8">
        <v>0.02</v>
      </c>
      <c r="Q5" s="10">
        <f>Tabela17[[#This Row],[Najniższa kwota4]]/Tabela17[[#This Row],[koszt 1 emisji 10 s. na nośniku z widownią od 30 000 do 45 000 osób na miesiąc3]]*Tabela17[[#This Row],[Waga3]]</f>
        <v>2</v>
      </c>
      <c r="R5" s="4">
        <v>2</v>
      </c>
      <c r="S5" s="8">
        <f>Tabela17[[#This Row],[koszt 1 emisji 10 s. na nośniku z widownią od 30 000 do 45 000 osób na miesiąc3]]</f>
        <v>0.02</v>
      </c>
      <c r="T5" s="8">
        <v>0.28000000000000003</v>
      </c>
      <c r="U5" s="10">
        <f>Tabela17[[#This Row],[Najniższa kwota5]]/Tabela17[[#This Row],[koszt 1 emisji 15 s. na nośniku z widownią od 30 000 do 45 000 osób na miesiąc]]*Tabela17[[#This Row],[Waga4]]</f>
        <v>0.17857142857142855</v>
      </c>
      <c r="V5" s="8">
        <v>0.02</v>
      </c>
      <c r="W5" s="10">
        <f>Tabela17[[#This Row],[Najniższa kwota5]]/Tabela17[[#This Row],[koszt 1 emisji 15 s. na nośniku z widownią od 30 000 do 45 000 osób na miesiąc3]]*Tabela17[[#This Row],[Waga4]]</f>
        <v>2.5</v>
      </c>
      <c r="X5" s="4">
        <v>2.5</v>
      </c>
      <c r="Y5" s="8">
        <f>Tabela17[[#This Row],[koszt 1 emisji 15 s. na nośniku z widownią od 30 000 do 45 000 osób na miesiąc3]]</f>
        <v>0.02</v>
      </c>
      <c r="Z5" s="8">
        <v>0.2</v>
      </c>
      <c r="AA5" s="10">
        <f>Tabela17[[#This Row],[Najniższa kwota6]]/Tabela17[[#This Row],[koszt 1 emisji 10 s. na nośniku z widownią od 45 000 do 60 000 osób na miesiąc]]*Tabela17[[#This Row],[Waga5]]</f>
        <v>0.3</v>
      </c>
      <c r="AB5" s="8">
        <v>0.02</v>
      </c>
      <c r="AC5" s="10">
        <f>Tabela17[[#This Row],[Najniższa kwota6]]/Tabela17[[#This Row],[koszt 1 emisji 10 s. na nośniku z widownią od 45 000 do 60 000 osób na miesiąc3]]*Tabela17[[#This Row],[Waga5]]</f>
        <v>3</v>
      </c>
      <c r="AD5" s="4">
        <v>3</v>
      </c>
      <c r="AE5" s="8">
        <f>Tabela17[[#This Row],[koszt 1 emisji 10 s. na nośniku z widownią od 45 000 do 60 000 osób na miesiąc3]]</f>
        <v>0.02</v>
      </c>
      <c r="AF5" s="8">
        <v>0.28000000000000003</v>
      </c>
      <c r="AG5" s="10">
        <f>Tabela17[[#This Row],[Najniższa kwota7]]/Tabela17[[#This Row],[koszt 1 emisji 15 s. na nośniku z widownią od 45 000 do 60 000 osób na miesiąc]]*Tabela17[[#This Row],[Waga6]]</f>
        <v>0.2857142857142857</v>
      </c>
      <c r="AH5" s="8">
        <v>0.02</v>
      </c>
      <c r="AI5" s="10">
        <f>Tabela17[[#This Row],[Najniższa kwota7]]/Tabela17[[#This Row],[koszt 1 emisji 15 s. na nośniku z widownią od 45 000 do 60 000 osób na miesiąc3]]*Tabela17[[#This Row],[Waga6]]</f>
        <v>4</v>
      </c>
      <c r="AJ5" s="4">
        <v>4</v>
      </c>
      <c r="AK5" s="8">
        <f>Tabela17[[#This Row],[koszt 1 emisji 15 s. na nośniku z widownią od 45 000 do 60 000 osób na miesiąc3]]</f>
        <v>0.02</v>
      </c>
      <c r="AL5" s="8">
        <v>0.31</v>
      </c>
      <c r="AM5" s="10">
        <f>Tabela17[[#This Row],[Najniższa kwota8]]/Tabela17[[#This Row],[koszt 1 emisji 10 s. na nośniku z widownią od 60 000 do 75 000 osób na miesiąc]]*Tabela17[[#This Row],[Waga7]]</f>
        <v>0.29032258064516125</v>
      </c>
      <c r="AN5" s="8">
        <v>0.02</v>
      </c>
      <c r="AO5" s="10">
        <f>Tabela17[[#This Row],[Najniższa kwota8]]/Tabela17[[#This Row],[koszt 1 emisji 10 s. na nośniku z widownią od 60 000 do 75 000 osób na miesiąc3]]*Tabela17[[#This Row],[Waga7]]</f>
        <v>4.5</v>
      </c>
      <c r="AP5" s="4">
        <v>4.5</v>
      </c>
      <c r="AQ5" s="8">
        <f>Tabela17[[#This Row],[koszt 1 emisji 10 s. na nośniku z widownią od 60 000 do 75 000 osób na miesiąc3]]</f>
        <v>0.02</v>
      </c>
      <c r="AR5" s="8">
        <v>0.47</v>
      </c>
      <c r="AS5" s="10">
        <f>Tabela17[[#This Row],[Najniższa kwota9]]/Tabela17[[#This Row],[koszt 1 emisji 15 s. na nośniku z widownią od 60 000 do 75 000 osób na miesiąc]]*Tabela17[[#This Row],[Waga8]]</f>
        <v>0.21276595744680854</v>
      </c>
      <c r="AT5" s="8">
        <v>0.02</v>
      </c>
      <c r="AU5" s="10">
        <f>Tabela17[[#This Row],[Najniższa kwota9]]/Tabela17[[#This Row],[koszt 1 emisji 15 s. na nośniku z widownią od 60 000 do 75 000 osób na miesiąc3]]*Tabela17[[#This Row],[Waga8]]</f>
        <v>5</v>
      </c>
      <c r="AV5" s="4">
        <v>5</v>
      </c>
      <c r="AW5" s="8">
        <f>Tabela17[[#This Row],[koszt 1 emisji 15 s. na nośniku z widownią od 60 000 do 75 000 osób na miesiąc3]]</f>
        <v>0.02</v>
      </c>
      <c r="AX5" s="8">
        <v>0.31</v>
      </c>
      <c r="AY5" s="10">
        <f>Tabela17[[#This Row],[Najniższa kwota10]]/Tabela17[[#This Row],[koszt 1 emisji 10 s. na nośniku z widownią powyżej 75 000 osób na miesiąc.]]*Tabela17[[#This Row],[Waga9]]</f>
        <v>0.35483870967741937</v>
      </c>
      <c r="AZ5" s="8">
        <v>0.02</v>
      </c>
      <c r="BA5" s="10">
        <f>Tabela17[[#This Row],[Najniższa kwota10]]/Tabela17[[#This Row],[koszt 1 emisji 10 s. na nośniku z widownią powyżej 75 000 osób na miesiąc.3]]*Tabela17[[#This Row],[Waga9]]</f>
        <v>5.5</v>
      </c>
      <c r="BB5" s="4">
        <v>5.5</v>
      </c>
      <c r="BC5" s="8">
        <f>Tabela17[[#This Row],[koszt 1 emisji 10 s. na nośniku z widownią powyżej 75 000 osób na miesiąc.3]]</f>
        <v>0.02</v>
      </c>
      <c r="BD5" s="8">
        <v>0.47</v>
      </c>
      <c r="BE5" s="10">
        <f>Tabela17[[#This Row],[Najniższa kwota2]]/Tabela17[[#This Row],[koszt 1 emisji 15 s. na nośniku z widownią powyżej 75 000 osób na miesiąc]]*Tabela17[[#This Row],[Waga10]]</f>
        <v>0.25531914893617025</v>
      </c>
      <c r="BF5" s="8">
        <v>0.02</v>
      </c>
      <c r="BG5" s="10">
        <f>Tabela17[[#This Row],[Najniższa kwota2]]/Tabela17[[#This Row],[koszt 1 emisji 15 s. na nośniku z widownią powyżej 75 000 osób na miesiąc3]]*Tabela17[[#This Row],[Waga10]]</f>
        <v>6</v>
      </c>
      <c r="BH5" s="4">
        <v>6</v>
      </c>
      <c r="BI5" s="8">
        <f>Tabela17[[#This Row],[koszt 1 emisji 15 s. na nośniku z widownią powyżej 75 000 osób na miesiąc3]]</f>
        <v>0.02</v>
      </c>
    </row>
    <row r="6" spans="1:61" x14ac:dyDescent="0.25">
      <c r="A6" s="3"/>
      <c r="B6" s="16"/>
      <c r="C6" s="13">
        <f>SUM(Tabela17[Simga pkt])</f>
        <v>1.4457478005865103</v>
      </c>
      <c r="D6" s="16"/>
      <c r="E6" s="13">
        <f>SUM(Tabela17[Stroer pkt])</f>
        <v>2.6363636363636367</v>
      </c>
      <c r="F6" s="54"/>
      <c r="G6" s="16"/>
      <c r="H6" s="16"/>
      <c r="I6" s="13">
        <f>SUM(Tabela17[Simga pkt2])</f>
        <v>2.0539513677811549</v>
      </c>
      <c r="J6" s="16"/>
      <c r="K6" s="13">
        <f>SUM(Tabela17[Stroer pkt2])</f>
        <v>3.9642857142857144</v>
      </c>
      <c r="L6" s="54"/>
      <c r="M6" s="16"/>
      <c r="N6" s="16"/>
      <c r="O6" s="13">
        <f>SUM(Tabela17[Simga pkt3])</f>
        <v>1.2708059460006069</v>
      </c>
      <c r="P6" s="16"/>
      <c r="Q6" s="13">
        <f>SUM(Tabela17[Stroer pkt3])</f>
        <v>6</v>
      </c>
      <c r="R6" s="54"/>
      <c r="S6" s="16"/>
      <c r="T6" s="16"/>
      <c r="U6" s="13">
        <f>SUM(Tabela17[Simga pkt4])</f>
        <v>1.5267005554973274</v>
      </c>
      <c r="V6" s="16"/>
      <c r="W6" s="13">
        <f>SUM(Tabela17[Stroer pkt4])</f>
        <v>7.5</v>
      </c>
      <c r="X6" s="54"/>
      <c r="Y6" s="16"/>
      <c r="Z6" s="54"/>
      <c r="AA6" s="13">
        <f>SUM(Tabela17[Simga pkt5])</f>
        <v>1.9334816462736375</v>
      </c>
      <c r="AB6" s="16"/>
      <c r="AC6" s="13">
        <f>SUM(Tabela17[Stroer pkt5])</f>
        <v>9</v>
      </c>
      <c r="AD6" s="54"/>
      <c r="AE6" s="16"/>
      <c r="AF6" s="54"/>
      <c r="AG6" s="13">
        <f>SUM(Tabela17[Simga pkt6])</f>
        <v>2.1730950634105439</v>
      </c>
      <c r="AH6" s="16"/>
      <c r="AI6" s="13">
        <f>SUM(Tabela17[Stroer pkt6])</f>
        <v>11</v>
      </c>
      <c r="AJ6" s="54"/>
      <c r="AK6" s="16"/>
      <c r="AL6" s="54"/>
      <c r="AM6" s="13">
        <f>SUM(Tabela17[Simga pkt7])</f>
        <v>2.4682981090100116</v>
      </c>
      <c r="AN6" s="16"/>
      <c r="AO6" s="13">
        <f>SUM(Tabela17[Stroer pkt7])</f>
        <v>12.5</v>
      </c>
      <c r="AP6" s="54"/>
      <c r="AQ6" s="16"/>
      <c r="AR6" s="54"/>
      <c r="AS6" s="13">
        <f>SUM(Tabela17[Simga pkt8])</f>
        <v>2.6393983859134269</v>
      </c>
      <c r="AT6" s="16"/>
      <c r="AU6" s="13">
        <f>SUM(Tabela17[Stroer pkt8])</f>
        <v>14</v>
      </c>
      <c r="AV6" s="54"/>
      <c r="AW6" s="16"/>
      <c r="AX6" s="54"/>
      <c r="AY6" s="13">
        <f>SUM(Tabela17[Simga pkt9])</f>
        <v>2.7019489247311834</v>
      </c>
      <c r="AZ6" s="16"/>
      <c r="BA6" s="13">
        <f>SUM(Tabela17[Stroer pkt9])</f>
        <v>15.5</v>
      </c>
      <c r="BB6" s="54"/>
      <c r="BC6" s="16"/>
      <c r="BD6" s="54"/>
      <c r="BE6" s="13">
        <f>SUM(Tabela17[Simga pkt10])</f>
        <v>2.6957003546099294</v>
      </c>
      <c r="BF6" s="55"/>
      <c r="BG6" s="11">
        <f>SUM(Tabela17[Stroer pkt10])</f>
        <v>17</v>
      </c>
      <c r="BH6" s="54"/>
      <c r="BI6" s="15"/>
    </row>
    <row r="7" spans="1:61" x14ac:dyDescent="0.25">
      <c r="B7" s="17"/>
      <c r="C7" s="17"/>
    </row>
    <row r="8" spans="1:61" x14ac:dyDescent="0.25">
      <c r="B8" s="17"/>
      <c r="C8" s="17"/>
    </row>
    <row r="9" spans="1:61" x14ac:dyDescent="0.25">
      <c r="B9" s="17" t="s">
        <v>53</v>
      </c>
      <c r="C9" s="9">
        <f>Tabela17[[#Totals],[Simga pkt]]+Tabela17[[#Totals],[Simga pkt2]]+Tabela17[[#Totals],[Simga pkt3]]+Tabela17[[#Totals],[Simga pkt4]]+Tabela17[[#Totals],[Simga pkt5]]+Tabela17[[#Totals],[Simga pkt6]]+Tabela17[[#Totals],[Simga pkt7]]+Tabela17[[#Totals],[Simga pkt8]]+Tabela17[[#Totals],[Simga pkt9]]+Tabela17[[#Totals],[Simga pkt10]]</f>
        <v>20.909128153814333</v>
      </c>
    </row>
    <row r="10" spans="1:61" x14ac:dyDescent="0.25">
      <c r="B10" s="17" t="s">
        <v>54</v>
      </c>
      <c r="C10" s="9">
        <f>Tabela17[[#Totals],[Stroer pkt]]+Tabela17[[#Totals],[Stroer pkt2]]+Tabela17[[#Totals],[Stroer pkt3]]+Tabela17[[#Totals],[Stroer pkt4]]+Tabela17[[#Totals],[Stroer pkt5]]+Tabela17[[#Totals],[Stroer pkt6]]+Tabela17[[#Totals],[Stroer pkt7]]+Tabela17[[#Totals],[Stroer pkt8]]+Tabela17[[#Totals],[Stroer pkt9]]+Tabela17[[#Totals],[Stroer pkt10]]</f>
        <v>99.100649350649348</v>
      </c>
    </row>
  </sheetData>
  <pageMargins left="0.7" right="0.7" top="0.75" bottom="0.75" header="0.3" footer="0.3"/>
  <pageSetup paperSize="9" orientation="portrait" horizontalDpi="30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Podsumowanie</vt:lpstr>
      <vt:lpstr>Bilbordy</vt:lpstr>
      <vt:lpstr>Citylighty </vt:lpstr>
      <vt:lpstr>Murale</vt:lpstr>
      <vt:lpstr>Siatki wielkoformatowe</vt:lpstr>
      <vt:lpstr>DOOH</vt:lpstr>
    </vt:vector>
  </TitlesOfParts>
  <Company>Kancelaria Prezesa Rady Ministrow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Nowakowski Adam</dc:creator>
  <cp:lastModifiedBy>Świątnicka Iwona</cp:lastModifiedBy>
  <dcterms:created xsi:type="dcterms:W3CDTF">2021-06-25T11:55:29Z</dcterms:created>
  <dcterms:modified xsi:type="dcterms:W3CDTF">2021-11-18T12:49:22Z</dcterms:modified>
</cp:coreProperties>
</file>