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4110" yWindow="-150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C564" i="45" l="1"/>
  <c r="C563" i="45"/>
  <c r="K630" i="45"/>
  <c r="J630" i="45"/>
  <c r="I630" i="45"/>
  <c r="H630" i="45"/>
  <c r="G630" i="45"/>
  <c r="F630" i="45"/>
  <c r="E630" i="45"/>
  <c r="D630" i="45"/>
  <c r="C630" i="45"/>
  <c r="K629" i="45"/>
  <c r="J629" i="45"/>
  <c r="I629" i="45"/>
  <c r="H629" i="45"/>
  <c r="G629" i="45"/>
  <c r="F629" i="45"/>
  <c r="E629" i="45"/>
  <c r="D629" i="45"/>
  <c r="C629" i="45"/>
  <c r="K628" i="45"/>
  <c r="J628" i="45"/>
  <c r="I628" i="45"/>
  <c r="H628" i="45"/>
  <c r="G628" i="45"/>
  <c r="F628" i="45"/>
  <c r="E628" i="45"/>
  <c r="D628" i="45"/>
  <c r="C628" i="45"/>
  <c r="K627" i="45"/>
  <c r="J627" i="45"/>
  <c r="I627" i="45"/>
  <c r="H627" i="45"/>
  <c r="G627" i="45"/>
  <c r="F627" i="45"/>
  <c r="E627" i="45"/>
  <c r="D627" i="45"/>
  <c r="C627" i="45"/>
  <c r="K626" i="45"/>
  <c r="J626" i="45"/>
  <c r="I626" i="45"/>
  <c r="H626" i="45"/>
  <c r="G626" i="45"/>
  <c r="F626" i="45"/>
  <c r="E626" i="45"/>
  <c r="D626" i="45"/>
  <c r="C626" i="45"/>
  <c r="K625" i="45"/>
  <c r="J625" i="45"/>
  <c r="I625" i="45"/>
  <c r="H625" i="45"/>
  <c r="G625" i="45"/>
  <c r="F625" i="45"/>
  <c r="E625" i="45"/>
  <c r="D625" i="45"/>
  <c r="C625" i="45"/>
  <c r="K624" i="45"/>
  <c r="J624" i="45"/>
  <c r="I624" i="45"/>
  <c r="H624" i="45"/>
  <c r="G624" i="45"/>
  <c r="F624" i="45"/>
  <c r="E624" i="45"/>
  <c r="D624" i="45"/>
  <c r="K623" i="45"/>
  <c r="J623" i="45"/>
  <c r="I623" i="45"/>
  <c r="H623" i="45"/>
  <c r="G623" i="45"/>
  <c r="F623" i="45"/>
  <c r="E623" i="45"/>
  <c r="D623" i="45"/>
  <c r="C623" i="45"/>
  <c r="K622" i="45"/>
  <c r="J622" i="45"/>
  <c r="I622" i="45"/>
  <c r="H622" i="45"/>
  <c r="G622" i="45"/>
  <c r="F622" i="45"/>
  <c r="E622" i="45"/>
  <c r="D622" i="45"/>
  <c r="K621" i="45"/>
  <c r="J621" i="45"/>
  <c r="I621" i="45"/>
  <c r="H621" i="45"/>
  <c r="G621" i="45"/>
  <c r="F621" i="45"/>
  <c r="E621" i="45"/>
  <c r="D621" i="45"/>
  <c r="C621" i="45"/>
  <c r="K620" i="45"/>
  <c r="J620" i="45"/>
  <c r="I620" i="45"/>
  <c r="H620" i="45"/>
  <c r="G620" i="45"/>
  <c r="F620" i="45"/>
  <c r="E620" i="45"/>
  <c r="D620" i="45"/>
  <c r="K619" i="45"/>
  <c r="J619" i="45"/>
  <c r="I619" i="45"/>
  <c r="H619" i="45"/>
  <c r="G619" i="45"/>
  <c r="F619" i="45"/>
  <c r="E619" i="45"/>
  <c r="D619" i="45"/>
  <c r="C619" i="45"/>
  <c r="K615" i="45"/>
  <c r="J615" i="45"/>
  <c r="I615" i="45"/>
  <c r="H615" i="45"/>
  <c r="G615" i="45"/>
  <c r="F615" i="45"/>
  <c r="E615" i="45"/>
  <c r="D615" i="45"/>
  <c r="C624" i="45"/>
  <c r="C622" i="45"/>
  <c r="C615" i="45"/>
  <c r="K593" i="45"/>
  <c r="J593" i="45"/>
  <c r="I593" i="45"/>
  <c r="H593" i="45"/>
  <c r="G593" i="45"/>
  <c r="F593" i="45"/>
  <c r="E593" i="45"/>
  <c r="D593" i="45"/>
  <c r="C593" i="45"/>
  <c r="K576" i="45"/>
  <c r="J576" i="45"/>
  <c r="I576" i="45"/>
  <c r="H576" i="45"/>
  <c r="G576" i="45"/>
  <c r="F576" i="45"/>
  <c r="E576" i="45"/>
  <c r="D576" i="45"/>
  <c r="C576" i="45"/>
  <c r="C620" i="45" l="1"/>
  <c r="F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E26" i="46" l="1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<sst xmlns="http://schemas.openxmlformats.org/spreadsheetml/2006/main" count="5183" uniqueCount="385">
  <si>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</si>
  <si>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</si>
  <si>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</si>
  <si>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</si>
  <si>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</si>
  <si>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</si>
  <si>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</si>
  <si>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</si>
  <si>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</si>
  <si>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</si>
  <si>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</si>
  <si>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</si>
  <si>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</si>
  <si>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</si>
  <si>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</si>
  <si>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</si>
  <si>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</si>
  <si>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</si>
  <si>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</si>
  <si>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</si>
  <si>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</si>
  <si>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</si>
  <si>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</si>
  <si>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</si>
  <si>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</si>
  <si>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</si>
  <si>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</si>
  <si>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</si>
  <si>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</si>
  <si>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</si>
  <si>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</si>
  <si>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</si>
  <si>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</si>
  <si>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</si>
  <si>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</si>
  <si>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</si>
  <si>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</si>
  <si>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</si>
  <si>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</si>
  <si>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</si>
  <si>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</si>
  <si>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</si>
  <si>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</si>
  <si>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</si>
  <si>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</si>
  <si>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</si>
  <si>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</si>
  <si>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</si>
  <si>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</si>
  <si>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</si>
  <si>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</si>
  <si>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</si>
  <si>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</si>
  <si>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</si>
  <si>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</si>
  <si>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</si>
  <si>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</si>
  <si>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</si>
  <si>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</si>
  <si>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</si>
  <si>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</si>
  <si>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</si>
  <si>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</si>
  <si>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</si>
  <si>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</si>
  <si>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</si>
  <si>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</si>
  <si>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</si>
  <si>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</si>
  <si>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</si>
  <si>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</si>
  <si>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</si>
  <si>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</si>
  <si>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</si>
  <si>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</si>
  <si>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</si>
  <si>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</si>
  <si>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</si>
  <si>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</si>
  <si>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</si>
  <si>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</si>
  <si>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</si>
  <si>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</si>
  <si>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</si>
  <si>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</si>
  <si>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</si>
  <si>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</si>
  <si>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</si>
  <si>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</si>
  <si>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</si>
  <si>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</si>
  <si>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</si>
  <si>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</si>
  <si>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</si>
  <si>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</si>
  <si>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</si>
  <si>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</si>
  <si>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</si>
  <si>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</si>
  <si>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</si>
  <si>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</si>
  <si>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</si>
  <si>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</si>
  <si>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</si>
  <si>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</si>
  <si>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</si>
  <si>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</si>
  <si>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</si>
  <si>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</si>
  <si>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</si>
  <si>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</si>
  <si>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</si>
  <si>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</si>
  <si>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</si>
  <si>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</si>
  <si>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</si>
  <si>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</si>
  <si>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</si>
  <si>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</si>
  <si>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</si>
  <si>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</si>
  <si>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</si>
  <si>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</si>
  <si>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</si>
  <si>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</si>
  <si>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</si>
  <si>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</si>
  <si>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</si>
  <si>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</si>
  <si>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</si>
  <si>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</si>
  <si>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</si>
  <si>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</si>
  <si>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</si>
  <si>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</si>
  <si>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</si>
  <si>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</si>
  <si>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</si>
  <si>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</si>
  <si>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</si>
  <si>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</si>
  <si>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</si>
  <si>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</si>
  <si>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</si>
  <si>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</si>
  <si>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</si>
  <si>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</si>
  <si>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</si>
  <si>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</si>
  <si>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</si>
  <si>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</si>
  <si>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</si>
  <si>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</si>
  <si>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</si>
  <si>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</si>
  <si>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</si>
  <si>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</si>
  <si>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</si>
  <si>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</si>
  <si>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</si>
  <si>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</si>
  <si>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</si>
  <si>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</si>
  <si>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</si>
  <si>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</si>
  <si>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</si>
  <si>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</si>
  <si>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</si>
  <si>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</si>
  <si>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</si>
  <si>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</si>
  <si>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</si>
  <si>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</si>
  <si>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</si>
  <si>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</si>
  <si>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</si>
  <si>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</si>
  <si>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</si>
  <si>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</si>
  <si>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</si>
  <si>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</si>
  <si>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</si>
  <si>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</si>
  <si>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</si>
  <si>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</si>
  <si>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</si>
  <si>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</si>
  <si>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</si>
  <si>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</si>
  <si>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</si>
  <si>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</si>
  <si>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</si>
  <si>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</si>
  <si>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</si>
  <si>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</si>
  <si>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</si>
  <si>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</si>
  <si>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</si>
  <si>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</si>
  <si>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</si>
  <si>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</si>
  <si>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</si>
  <si>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</si>
  <si>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</si>
  <si>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</si>
  <si>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</si>
  <si>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</si>
  <si>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</si>
  <si>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</si>
  <si>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</si>
  <si>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</si>
  <si>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</si>
  <si>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</si>
  <si>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</si>
  <si>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</si>
  <si>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</si>
  <si>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</si>
  <si>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</si>
  <si>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</si>
  <si>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</si>
  <si>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</si>
  <si>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</si>
  <si>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</si>
  <si>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</si>
  <si>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</si>
  <si>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</si>
  <si>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</si>
  <si>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</si>
  <si>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</si>
  <si>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</si>
  <si>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</si>
  <si>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</si>
  <si>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</si>
  <si>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</si>
  <si>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</si>
  <si>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</si>
  <si>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</si>
  <si>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</si>
  <si>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</si>
  <si>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</si>
  <si>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</si>
  <si>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</si>
  <si>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</si>
  <si>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</si>
  <si>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</si>
  <si>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</si>
  <si>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</si>
  <si>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</si>
  <si>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</si>
  <si>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</si>
  <si>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</si>
  <si>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</si>
  <si>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</si>
  <si>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</si>
  <si>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</si>
  <si>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</si>
  <si>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</si>
  <si>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</si>
  <si>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</si>
  <si>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</si>
  <si>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</si>
  <si>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</si>
  <si>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</si>
  <si>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</si>
  <si>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</si>
  <si>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</si>
  <si>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</si>
  <si>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</si>
  <si>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</si>
  <si>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</si>
  <si>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</si>
  <si>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</si>
  <si>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</si>
  <si>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</si>
  <si>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</si>
  <si>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</si>
  <si>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</si>
  <si>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</si>
  <si>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</si>
  <si>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</si>
  <si>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</si>
  <si>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</si>
  <si>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</si>
  <si>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</si>
  <si>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</si>
  <si>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</si>
  <si>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</si>
  <si>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</si>
  <si>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</si>
  <si>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</si>
  <si>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</si>
  <si>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</si>
  <si>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</si>
  <si>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</si>
  <si>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</si>
  <si>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</si>
  <si>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</si>
  <si>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</si>
  <si>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</si>
  <si>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</si>
  <si>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</si>
  <si>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</si>
  <si>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</si>
  <si>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</si>
  <si>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</si>
  <si>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</si>
  <si>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</si>
  <si>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</si>
  <si>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</si>
  <si>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</si>
  <si>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</si>
  <si>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</si>
  <si>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</si>
  <si>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</si>
  <si>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</si>
  <si>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</si>
  <si>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</si>
  <si>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</si>
  <si>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</si>
  <si>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</si>
  <si>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</si>
  <si>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</si>
  <si>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</si>
  <si>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</si>
  <si>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</si>
  <si>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</si>
  <si>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</si>
  <si>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</si>
  <si>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</si>
  <si>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</si>
  <si>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</si>
  <si>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</si>
  <si>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</si>
  <si>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</si>
  <si>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</si>
  <si>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</si>
  <si>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</si>
  <si>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</si>
  <si>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</si>
  <si>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</si>
  <si>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</si>
  <si>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</si>
  <si>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</si>
  <si>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</si>
  <si>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</si>
  <si>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</si>
  <si>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</si>
  <si>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</si>
  <si>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</si>
  <si>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</si>
  <si>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</si>
  <si>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</si>
  <si>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</si>
  <si>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</si>
  <si>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</si>
  <si>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</si>
  <si>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</si>
  <si>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</si>
  <si>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</si>
  <si>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</si>
  <si>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</si>
  <si>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</si>
  <si>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</si>
  <si>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</si>
  <si>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</si>
  <si>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styczniu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</si>
  <si>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 2019 r. (wstępne)</t>
  </si>
  <si>
    <t>I 2018 r.</t>
  </si>
  <si>
    <t>zmiana I 2019 /I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</si>
  <si>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styczniu 2019 r. (dane wstępne) </t>
    </r>
    <r>
      <rPr>
        <b/>
        <sz val="11"/>
        <rFont val="Times New Roman"/>
        <family val="1"/>
        <charset val="238"/>
      </rPr>
      <t>w porównaniu do  stycznia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</si>
  <si>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styczniu 2019 r. (dane wstępne)</t>
  </si>
  <si>
    <t>OKRES: styczeń 2019 r. (wstępne) - ważniejsze państwa</t>
  </si>
  <si>
    <t>Belgia</t>
  </si>
  <si>
    <t>Kierunki, wartość, wolumen oraz średnia cena uzyskana w imporcie bydła żywego i mięsa wołowego w styczniu 2019 r. (dane wstępne)</t>
  </si>
  <si>
    <t>Uboje przemysłowe 2019 (dane wstępne)</t>
  </si>
  <si>
    <t>2019-04-21</t>
  </si>
  <si>
    <t xml:space="preserve">Uprzejmie informujemy, że w związku z dniami wolnymi od pracy (1 – 3 maja br.), kolejny Biuletyn informacyjny (nr 17/18) </t>
  </si>
  <si>
    <t>zostanie opublikowany w dniu 9.05.2019 r. i będzie dotyczył łącznie dwóch tygodni , tj. okresu od 22.04 do 5.05.2019 roku.</t>
  </si>
  <si>
    <t>09.05.2019 r.</t>
  </si>
  <si>
    <t>NR 17-18/2019</t>
  </si>
  <si>
    <t>Notowania z okresu: 22.04 - 05.05.2019r.</t>
  </si>
  <si>
    <t>2019-05-05</t>
  </si>
  <si>
    <t>2019-04-22 - 2019-05-05</t>
  </si>
  <si>
    <t>UWAGA:   Dane, które są publikowane w tym tygodniu dotyczą okresu 22.04 – 05.05.2019 (2 tyg.). Publikujemy średnią cenę za ten okres w porównaniu do tygodnia 15-21.04.2019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</si>
  <si>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22.04 -05.05.2019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</si>
</sst>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0" fontId="178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80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2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2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0" fillId="0" borderId="0" xfId="0" applyAlignment="1">
      <alignment vertical="center"/>
    </xf>
    <xf numFmtId="0" fontId="184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5" fillId="3" borderId="0" xfId="0" applyFont="1" applyFill="1"/>
    <xf numFmtId="0" fontId="186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8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2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2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3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9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1" fillId="0" borderId="23" xfId="0" applyFont="1" applyBorder="1" applyAlignment="1">
      <alignment horizontal="center" vertical="center" wrapText="1"/>
    </xf>
    <xf numFmtId="0" fontId="191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7" fillId="0" borderId="16" xfId="188" applyFont="1" applyBorder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8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4" fillId="3" borderId="0" xfId="0" applyFont="1" applyFill="1"/>
    <xf numFmtId="0" fontId="195" fillId="3" borderId="0" xfId="0" applyFont="1" applyFill="1"/>
    <xf numFmtId="0" fontId="4" fillId="3" borderId="0" xfId="0" applyFont="1" applyFill="1"/>
    <xf numFmtId="0" fontId="113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6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7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6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7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7" fillId="60" borderId="20" xfId="0" applyNumberFormat="1" applyFont="1" applyFill="1" applyBorder="1" applyAlignment="1"/>
    <xf numFmtId="2" fontId="187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0" fillId="0" borderId="19" xfId="0" applyFont="1" applyBorder="1" applyAlignment="1">
      <alignment horizontal="center" vertical="center" wrapText="1"/>
    </xf>
    <xf numFmtId="0" fontId="190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2" fontId="0" fillId="0" borderId="0" xfId="0" applyNumberFormat="1"/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14" fontId="5" fillId="0" borderId="47" xfId="0" applyNumberFormat="1" applyFont="1" applyBorder="1" applyAlignment="1">
      <alignment horizontal="center" vertical="center" wrapText="1"/>
    </xf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2" fontId="14" fillId="0" borderId="35" xfId="0" quotePrefix="1" applyNumberFormat="1" applyFont="1" applyFill="1" applyBorder="1"/>
    <xf numFmtId="2" fontId="5" fillId="0" borderId="58" xfId="0" quotePrefix="1" applyNumberFormat="1" applyFont="1" applyFill="1" applyBorder="1"/>
    <xf numFmtId="0" fontId="198" fillId="3" borderId="0" xfId="0" applyFont="1" applyFill="1"/>
    <xf numFmtId="0" fontId="199" fillId="3" borderId="0" xfId="0" applyFont="1" applyFill="1"/>
    <xf numFmtId="0" fontId="200" fillId="3" borderId="0" xfId="0" applyFont="1" applyFill="1"/>
    <xf numFmtId="14" fontId="179" fillId="0" borderId="46" xfId="0" applyNumberFormat="1" applyFont="1" applyBorder="1" applyAlignment="1">
      <alignment vertical="center" wrapText="1"/>
    </xf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1" fillId="0" borderId="82" xfId="0" applyFont="1" applyBorder="1" applyAlignment="1">
      <alignment horizontal="center" vertical="center" wrapText="1"/>
    </xf>
    <xf numFmtId="0" fontId="191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1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42" fillId="0" borderId="64" xfId="51" applyFont="1" applyBorder="1" applyAlignment="1">
      <alignment horizont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66675</xdr:colOff>
      <xdr:row>21</xdr:row>
      <xdr:rowOff>117475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162675" cy="3355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66675</xdr:colOff>
      <xdr:row>43</xdr:row>
      <xdr:rowOff>114935</xdr:rowOff>
    </xdr:to>
    <xdr:pic>
      <xdr:nvPicPr>
        <xdr:cNvPr id="9" name="Obraz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5700"/>
          <a:ext cx="6162675" cy="33439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526415</xdr:colOff>
      <xdr:row>21</xdr:row>
      <xdr:rowOff>114300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12815" cy="335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526415</xdr:colOff>
      <xdr:row>44</xdr:row>
      <xdr:rowOff>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95700"/>
          <a:ext cx="6012815" cy="3390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7"/>
  <sheetViews>
    <sheetView showGridLines="0" tabSelected="1" zoomScale="130" zoomScaleNormal="130" workbookViewId="0">
      <selection activeCell="B28" sqref="B28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1" t="s">
        <v>378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9" t="s">
        <v>353</v>
      </c>
      <c r="C5" s="789"/>
      <c r="D5" s="789"/>
      <c r="E5" s="789"/>
      <c r="F5" s="789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8" t="s">
        <v>379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4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5" t="s">
        <v>380</v>
      </c>
      <c r="C13" s="776"/>
      <c r="D13" s="776"/>
      <c r="E13" s="776"/>
      <c r="F13" s="777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8"/>
      <c r="B15" s="1152" t="s">
        <v>383</v>
      </c>
      <c r="C15" s="1150"/>
      <c r="D15" s="1150"/>
      <c r="E15" s="1151"/>
      <c r="F15" s="1151"/>
      <c r="G15" s="1151"/>
      <c r="H15" s="1151"/>
      <c r="I15" s="1150"/>
      <c r="J15" s="1150"/>
      <c r="K15" s="1150"/>
      <c r="L15" s="1151"/>
      <c r="M15" s="1151"/>
      <c r="N15" s="1151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8.75">
      <c r="A16" s="788"/>
      <c r="B16" s="1152"/>
      <c r="C16" s="1150"/>
      <c r="D16" s="1150"/>
      <c r="E16" s="1151"/>
      <c r="F16" s="1151"/>
      <c r="G16" s="1151"/>
      <c r="H16" s="1151"/>
      <c r="I16" s="1150"/>
      <c r="J16" s="1150"/>
      <c r="K16" s="1150"/>
      <c r="L16" s="1151"/>
      <c r="M16" s="1151"/>
      <c r="N16" s="1151"/>
      <c r="O16" s="62"/>
      <c r="P16" s="67"/>
      <c r="Q16" s="67"/>
      <c r="R16" s="67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2" t="s">
        <v>376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979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2" t="s">
        <v>377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979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 ht="12.75">
      <c r="A19" s="62"/>
      <c r="B19" s="976"/>
      <c r="C19" s="976"/>
      <c r="D19" s="977"/>
      <c r="E19" s="977"/>
      <c r="F19" s="977"/>
      <c r="G19" s="977"/>
      <c r="H19" s="977"/>
      <c r="I19" s="977"/>
      <c r="J19" s="977"/>
      <c r="K19" s="978"/>
      <c r="L19" s="978"/>
      <c r="M19" s="978"/>
      <c r="N19" s="978"/>
      <c r="O19" s="978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5" t="s">
        <v>342</v>
      </c>
      <c r="C20" s="66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3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352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4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5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86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7" t="s">
        <v>6</v>
      </c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>
      <c r="A27" s="62"/>
      <c r="B27" s="67" t="s">
        <v>97</v>
      </c>
      <c r="C27" s="67"/>
      <c r="D27" s="67"/>
      <c r="E27" s="67"/>
      <c r="F27" s="67"/>
      <c r="G27" s="67"/>
      <c r="H27" s="67"/>
      <c r="I27" s="67"/>
      <c r="J27" s="67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>
      <c r="A28" s="62"/>
      <c r="B28" s="67" t="s">
        <v>7</v>
      </c>
      <c r="C28" s="67"/>
      <c r="D28" s="67"/>
      <c r="E28" s="67"/>
      <c r="F28" s="67"/>
      <c r="G28" s="67"/>
      <c r="H28" s="67"/>
      <c r="I28" s="67"/>
      <c r="J28" s="67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>
      <c r="A29" s="62"/>
      <c r="B29" s="62"/>
      <c r="C29" s="67"/>
      <c r="D29" s="67"/>
      <c r="E29" s="67"/>
      <c r="F29" s="67"/>
      <c r="G29" s="67"/>
      <c r="H29" s="67"/>
      <c r="I29" s="67"/>
      <c r="J29" s="67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 ht="11.25" customHeight="1">
      <c r="A30" s="62"/>
      <c r="B30" s="693" t="s">
        <v>324</v>
      </c>
      <c r="C30" s="67"/>
      <c r="D30" s="67"/>
      <c r="E30" s="67"/>
      <c r="F30" s="67"/>
      <c r="G30" s="67"/>
      <c r="H30" s="67"/>
      <c r="I30" s="67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 ht="12.75">
      <c r="A31" s="62"/>
      <c r="B31" s="694"/>
      <c r="C31" s="695"/>
      <c r="D31" s="695"/>
      <c r="E31" s="695"/>
      <c r="F31" s="695"/>
      <c r="G31" s="695"/>
      <c r="H31" s="695"/>
      <c r="I31" s="695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 ht="12.75">
      <c r="A32" s="62"/>
      <c r="B32" s="694" t="s">
        <v>336</v>
      </c>
      <c r="C32" s="695"/>
      <c r="D32" s="695"/>
      <c r="E32" s="695"/>
      <c r="F32" s="695"/>
      <c r="G32" s="695"/>
      <c r="H32" s="695"/>
      <c r="I32" s="695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123"/>
      <c r="C33" s="76"/>
      <c r="D33" s="76"/>
      <c r="E33" s="76"/>
      <c r="F33" s="76"/>
      <c r="G33" s="76"/>
      <c r="H33" s="76"/>
      <c r="I33" s="76"/>
      <c r="J33" s="76"/>
      <c r="K33" s="76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75"/>
      <c r="C34" s="76"/>
      <c r="D34" s="76"/>
      <c r="E34" s="76"/>
      <c r="F34" s="76"/>
      <c r="G34" s="76"/>
      <c r="H34" s="76"/>
      <c r="I34" s="76"/>
      <c r="J34" s="76"/>
      <c r="K34" s="76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1:34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1:34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</row>
    <row r="47" spans="1:34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activeCell="Q31" sqref="Q31"/>
    </sheetView>
  </sheetViews>
  <sheetFormatPr defaultRowHeight="12.75"/>
  <cols>
    <col min="1" max="1" width="4.42578125" style="700" customWidth="1"/>
    <col min="2" max="2" width="18.85546875" style="700" customWidth="1"/>
    <col min="3" max="3" width="12" style="700" customWidth="1"/>
    <col min="4" max="4" width="13.7109375" style="700" customWidth="1"/>
    <col min="5" max="5" width="12.85546875" style="700" bestFit="1" customWidth="1"/>
    <col min="6" max="6" width="13.85546875" style="700" customWidth="1"/>
    <col min="7" max="7" width="17.5703125" style="700" customWidth="1"/>
    <col min="8" max="8" width="9.140625" style="700"/>
    <col min="9" max="9" width="18.85546875" style="700" bestFit="1" customWidth="1"/>
    <col min="10" max="10" width="12.5703125" style="700" customWidth="1"/>
    <col min="11" max="252" width="9.140625" style="700"/>
    <col min="253" max="253" width="4.42578125" style="700" customWidth="1"/>
    <col min="254" max="254" width="20.85546875" style="700" customWidth="1"/>
    <col min="255" max="256" width="12" style="700" customWidth="1"/>
    <col min="257" max="257" width="14.5703125" style="700" customWidth="1"/>
    <col min="258" max="258" width="12.42578125" style="700" customWidth="1"/>
    <col min="259" max="259" width="19.7109375" style="700" customWidth="1"/>
    <col min="260" max="260" width="9.140625" style="700"/>
    <col min="261" max="261" width="16.85546875" style="700" customWidth="1"/>
    <col min="262" max="262" width="12.5703125" style="700" customWidth="1"/>
    <col min="263" max="263" width="11.7109375" style="700" customWidth="1"/>
    <col min="264" max="264" width="12.28515625" style="700" customWidth="1"/>
    <col min="265" max="508" width="9.140625" style="700"/>
    <col min="509" max="509" width="4.42578125" style="700" customWidth="1"/>
    <col min="510" max="510" width="20.85546875" style="700" customWidth="1"/>
    <col min="511" max="512" width="12" style="700" customWidth="1"/>
    <col min="513" max="513" width="14.5703125" style="700" customWidth="1"/>
    <col min="514" max="514" width="12.42578125" style="700" customWidth="1"/>
    <col min="515" max="515" width="19.7109375" style="700" customWidth="1"/>
    <col min="516" max="516" width="9.140625" style="700"/>
    <col min="517" max="517" width="16.85546875" style="700" customWidth="1"/>
    <col min="518" max="518" width="12.5703125" style="700" customWidth="1"/>
    <col min="519" max="519" width="11.7109375" style="700" customWidth="1"/>
    <col min="520" max="520" width="12.28515625" style="700" customWidth="1"/>
    <col min="521" max="764" width="9.140625" style="700"/>
    <col min="765" max="765" width="4.42578125" style="700" customWidth="1"/>
    <col min="766" max="766" width="20.85546875" style="700" customWidth="1"/>
    <col min="767" max="768" width="12" style="700" customWidth="1"/>
    <col min="769" max="769" width="14.5703125" style="700" customWidth="1"/>
    <col min="770" max="770" width="12.42578125" style="700" customWidth="1"/>
    <col min="771" max="771" width="19.7109375" style="700" customWidth="1"/>
    <col min="772" max="772" width="9.140625" style="700"/>
    <col min="773" max="773" width="16.85546875" style="700" customWidth="1"/>
    <col min="774" max="774" width="12.5703125" style="700" customWidth="1"/>
    <col min="775" max="775" width="11.7109375" style="700" customWidth="1"/>
    <col min="776" max="776" width="12.28515625" style="700" customWidth="1"/>
    <col min="777" max="1020" width="9.140625" style="700"/>
    <col min="1021" max="1021" width="4.42578125" style="700" customWidth="1"/>
    <col min="1022" max="1022" width="20.85546875" style="700" customWidth="1"/>
    <col min="1023" max="1024" width="12" style="700" customWidth="1"/>
    <col min="1025" max="1025" width="14.5703125" style="700" customWidth="1"/>
    <col min="1026" max="1026" width="12.42578125" style="700" customWidth="1"/>
    <col min="1027" max="1027" width="19.7109375" style="700" customWidth="1"/>
    <col min="1028" max="1028" width="9.140625" style="700"/>
    <col min="1029" max="1029" width="16.85546875" style="700" customWidth="1"/>
    <col min="1030" max="1030" width="12.5703125" style="700" customWidth="1"/>
    <col min="1031" max="1031" width="11.7109375" style="700" customWidth="1"/>
    <col min="1032" max="1032" width="12.28515625" style="700" customWidth="1"/>
    <col min="1033" max="1276" width="9.140625" style="700"/>
    <col min="1277" max="1277" width="4.42578125" style="700" customWidth="1"/>
    <col min="1278" max="1278" width="20.85546875" style="700" customWidth="1"/>
    <col min="1279" max="1280" width="12" style="700" customWidth="1"/>
    <col min="1281" max="1281" width="14.5703125" style="700" customWidth="1"/>
    <col min="1282" max="1282" width="12.42578125" style="700" customWidth="1"/>
    <col min="1283" max="1283" width="19.7109375" style="700" customWidth="1"/>
    <col min="1284" max="1284" width="9.140625" style="700"/>
    <col min="1285" max="1285" width="16.85546875" style="700" customWidth="1"/>
    <col min="1286" max="1286" width="12.5703125" style="700" customWidth="1"/>
    <col min="1287" max="1287" width="11.7109375" style="700" customWidth="1"/>
    <col min="1288" max="1288" width="12.28515625" style="700" customWidth="1"/>
    <col min="1289" max="1532" width="9.140625" style="700"/>
    <col min="1533" max="1533" width="4.42578125" style="700" customWidth="1"/>
    <col min="1534" max="1534" width="20.85546875" style="700" customWidth="1"/>
    <col min="1535" max="1536" width="12" style="700" customWidth="1"/>
    <col min="1537" max="1537" width="14.5703125" style="700" customWidth="1"/>
    <col min="1538" max="1538" width="12.42578125" style="700" customWidth="1"/>
    <col min="1539" max="1539" width="19.7109375" style="700" customWidth="1"/>
    <col min="1540" max="1540" width="9.140625" style="700"/>
    <col min="1541" max="1541" width="16.85546875" style="700" customWidth="1"/>
    <col min="1542" max="1542" width="12.5703125" style="700" customWidth="1"/>
    <col min="1543" max="1543" width="11.7109375" style="700" customWidth="1"/>
    <col min="1544" max="1544" width="12.28515625" style="700" customWidth="1"/>
    <col min="1545" max="1788" width="9.140625" style="700"/>
    <col min="1789" max="1789" width="4.42578125" style="700" customWidth="1"/>
    <col min="1790" max="1790" width="20.85546875" style="700" customWidth="1"/>
    <col min="1791" max="1792" width="12" style="700" customWidth="1"/>
    <col min="1793" max="1793" width="14.5703125" style="700" customWidth="1"/>
    <col min="1794" max="1794" width="12.42578125" style="700" customWidth="1"/>
    <col min="1795" max="1795" width="19.7109375" style="700" customWidth="1"/>
    <col min="1796" max="1796" width="9.140625" style="700"/>
    <col min="1797" max="1797" width="16.85546875" style="700" customWidth="1"/>
    <col min="1798" max="1798" width="12.5703125" style="700" customWidth="1"/>
    <col min="1799" max="1799" width="11.7109375" style="700" customWidth="1"/>
    <col min="1800" max="1800" width="12.28515625" style="700" customWidth="1"/>
    <col min="1801" max="2044" width="9.140625" style="700"/>
    <col min="2045" max="2045" width="4.42578125" style="700" customWidth="1"/>
    <col min="2046" max="2046" width="20.85546875" style="700" customWidth="1"/>
    <col min="2047" max="2048" width="12" style="700" customWidth="1"/>
    <col min="2049" max="2049" width="14.5703125" style="700" customWidth="1"/>
    <col min="2050" max="2050" width="12.42578125" style="700" customWidth="1"/>
    <col min="2051" max="2051" width="19.7109375" style="700" customWidth="1"/>
    <col min="2052" max="2052" width="9.140625" style="700"/>
    <col min="2053" max="2053" width="16.85546875" style="700" customWidth="1"/>
    <col min="2054" max="2054" width="12.5703125" style="700" customWidth="1"/>
    <col min="2055" max="2055" width="11.7109375" style="700" customWidth="1"/>
    <col min="2056" max="2056" width="12.28515625" style="700" customWidth="1"/>
    <col min="2057" max="2300" width="9.140625" style="700"/>
    <col min="2301" max="2301" width="4.42578125" style="700" customWidth="1"/>
    <col min="2302" max="2302" width="20.85546875" style="700" customWidth="1"/>
    <col min="2303" max="2304" width="12" style="700" customWidth="1"/>
    <col min="2305" max="2305" width="14.5703125" style="700" customWidth="1"/>
    <col min="2306" max="2306" width="12.42578125" style="700" customWidth="1"/>
    <col min="2307" max="2307" width="19.7109375" style="700" customWidth="1"/>
    <col min="2308" max="2308" width="9.140625" style="700"/>
    <col min="2309" max="2309" width="16.85546875" style="700" customWidth="1"/>
    <col min="2310" max="2310" width="12.5703125" style="700" customWidth="1"/>
    <col min="2311" max="2311" width="11.7109375" style="700" customWidth="1"/>
    <col min="2312" max="2312" width="12.28515625" style="700" customWidth="1"/>
    <col min="2313" max="2556" width="9.140625" style="700"/>
    <col min="2557" max="2557" width="4.42578125" style="700" customWidth="1"/>
    <col min="2558" max="2558" width="20.85546875" style="700" customWidth="1"/>
    <col min="2559" max="2560" width="12" style="700" customWidth="1"/>
    <col min="2561" max="2561" width="14.5703125" style="700" customWidth="1"/>
    <col min="2562" max="2562" width="12.42578125" style="700" customWidth="1"/>
    <col min="2563" max="2563" width="19.7109375" style="700" customWidth="1"/>
    <col min="2564" max="2564" width="9.140625" style="700"/>
    <col min="2565" max="2565" width="16.85546875" style="700" customWidth="1"/>
    <col min="2566" max="2566" width="12.5703125" style="700" customWidth="1"/>
    <col min="2567" max="2567" width="11.7109375" style="700" customWidth="1"/>
    <col min="2568" max="2568" width="12.28515625" style="700" customWidth="1"/>
    <col min="2569" max="2812" width="9.140625" style="700"/>
    <col min="2813" max="2813" width="4.42578125" style="700" customWidth="1"/>
    <col min="2814" max="2814" width="20.85546875" style="700" customWidth="1"/>
    <col min="2815" max="2816" width="12" style="700" customWidth="1"/>
    <col min="2817" max="2817" width="14.5703125" style="700" customWidth="1"/>
    <col min="2818" max="2818" width="12.42578125" style="700" customWidth="1"/>
    <col min="2819" max="2819" width="19.7109375" style="700" customWidth="1"/>
    <col min="2820" max="2820" width="9.140625" style="700"/>
    <col min="2821" max="2821" width="16.85546875" style="700" customWidth="1"/>
    <col min="2822" max="2822" width="12.5703125" style="700" customWidth="1"/>
    <col min="2823" max="2823" width="11.7109375" style="700" customWidth="1"/>
    <col min="2824" max="2824" width="12.28515625" style="700" customWidth="1"/>
    <col min="2825" max="3068" width="9.140625" style="700"/>
    <col min="3069" max="3069" width="4.42578125" style="700" customWidth="1"/>
    <col min="3070" max="3070" width="20.85546875" style="700" customWidth="1"/>
    <col min="3071" max="3072" width="12" style="700" customWidth="1"/>
    <col min="3073" max="3073" width="14.5703125" style="700" customWidth="1"/>
    <col min="3074" max="3074" width="12.42578125" style="700" customWidth="1"/>
    <col min="3075" max="3075" width="19.7109375" style="700" customWidth="1"/>
    <col min="3076" max="3076" width="9.140625" style="700"/>
    <col min="3077" max="3077" width="16.85546875" style="700" customWidth="1"/>
    <col min="3078" max="3078" width="12.5703125" style="700" customWidth="1"/>
    <col min="3079" max="3079" width="11.7109375" style="700" customWidth="1"/>
    <col min="3080" max="3080" width="12.28515625" style="700" customWidth="1"/>
    <col min="3081" max="3324" width="9.140625" style="700"/>
    <col min="3325" max="3325" width="4.42578125" style="700" customWidth="1"/>
    <col min="3326" max="3326" width="20.85546875" style="700" customWidth="1"/>
    <col min="3327" max="3328" width="12" style="700" customWidth="1"/>
    <col min="3329" max="3329" width="14.5703125" style="700" customWidth="1"/>
    <col min="3330" max="3330" width="12.42578125" style="700" customWidth="1"/>
    <col min="3331" max="3331" width="19.7109375" style="700" customWidth="1"/>
    <col min="3332" max="3332" width="9.140625" style="700"/>
    <col min="3333" max="3333" width="16.85546875" style="700" customWidth="1"/>
    <col min="3334" max="3334" width="12.5703125" style="700" customWidth="1"/>
    <col min="3335" max="3335" width="11.7109375" style="700" customWidth="1"/>
    <col min="3336" max="3336" width="12.28515625" style="700" customWidth="1"/>
    <col min="3337" max="3580" width="9.140625" style="700"/>
    <col min="3581" max="3581" width="4.42578125" style="700" customWidth="1"/>
    <col min="3582" max="3582" width="20.85546875" style="700" customWidth="1"/>
    <col min="3583" max="3584" width="12" style="700" customWidth="1"/>
    <col min="3585" max="3585" width="14.5703125" style="700" customWidth="1"/>
    <col min="3586" max="3586" width="12.42578125" style="700" customWidth="1"/>
    <col min="3587" max="3587" width="19.7109375" style="700" customWidth="1"/>
    <col min="3588" max="3588" width="9.140625" style="700"/>
    <col min="3589" max="3589" width="16.85546875" style="700" customWidth="1"/>
    <col min="3590" max="3590" width="12.5703125" style="700" customWidth="1"/>
    <col min="3591" max="3591" width="11.7109375" style="700" customWidth="1"/>
    <col min="3592" max="3592" width="12.28515625" style="700" customWidth="1"/>
    <col min="3593" max="3836" width="9.140625" style="700"/>
    <col min="3837" max="3837" width="4.42578125" style="700" customWidth="1"/>
    <col min="3838" max="3838" width="20.85546875" style="700" customWidth="1"/>
    <col min="3839" max="3840" width="12" style="700" customWidth="1"/>
    <col min="3841" max="3841" width="14.5703125" style="700" customWidth="1"/>
    <col min="3842" max="3842" width="12.42578125" style="700" customWidth="1"/>
    <col min="3843" max="3843" width="19.7109375" style="700" customWidth="1"/>
    <col min="3844" max="3844" width="9.140625" style="700"/>
    <col min="3845" max="3845" width="16.85546875" style="700" customWidth="1"/>
    <col min="3846" max="3846" width="12.5703125" style="700" customWidth="1"/>
    <col min="3847" max="3847" width="11.7109375" style="700" customWidth="1"/>
    <col min="3848" max="3848" width="12.28515625" style="700" customWidth="1"/>
    <col min="3849" max="4092" width="9.140625" style="700"/>
    <col min="4093" max="4093" width="4.42578125" style="700" customWidth="1"/>
    <col min="4094" max="4094" width="20.85546875" style="700" customWidth="1"/>
    <col min="4095" max="4096" width="12" style="700" customWidth="1"/>
    <col min="4097" max="4097" width="14.5703125" style="700" customWidth="1"/>
    <col min="4098" max="4098" width="12.42578125" style="700" customWidth="1"/>
    <col min="4099" max="4099" width="19.7109375" style="700" customWidth="1"/>
    <col min="4100" max="4100" width="9.140625" style="700"/>
    <col min="4101" max="4101" width="16.85546875" style="700" customWidth="1"/>
    <col min="4102" max="4102" width="12.5703125" style="700" customWidth="1"/>
    <col min="4103" max="4103" width="11.7109375" style="700" customWidth="1"/>
    <col min="4104" max="4104" width="12.28515625" style="700" customWidth="1"/>
    <col min="4105" max="4348" width="9.140625" style="700"/>
    <col min="4349" max="4349" width="4.42578125" style="700" customWidth="1"/>
    <col min="4350" max="4350" width="20.85546875" style="700" customWidth="1"/>
    <col min="4351" max="4352" width="12" style="700" customWidth="1"/>
    <col min="4353" max="4353" width="14.5703125" style="700" customWidth="1"/>
    <col min="4354" max="4354" width="12.42578125" style="700" customWidth="1"/>
    <col min="4355" max="4355" width="19.7109375" style="700" customWidth="1"/>
    <col min="4356" max="4356" width="9.140625" style="700"/>
    <col min="4357" max="4357" width="16.85546875" style="700" customWidth="1"/>
    <col min="4358" max="4358" width="12.5703125" style="700" customWidth="1"/>
    <col min="4359" max="4359" width="11.7109375" style="700" customWidth="1"/>
    <col min="4360" max="4360" width="12.28515625" style="700" customWidth="1"/>
    <col min="4361" max="4604" width="9.140625" style="700"/>
    <col min="4605" max="4605" width="4.42578125" style="700" customWidth="1"/>
    <col min="4606" max="4606" width="20.85546875" style="700" customWidth="1"/>
    <col min="4607" max="4608" width="12" style="700" customWidth="1"/>
    <col min="4609" max="4609" width="14.5703125" style="700" customWidth="1"/>
    <col min="4610" max="4610" width="12.42578125" style="700" customWidth="1"/>
    <col min="4611" max="4611" width="19.7109375" style="700" customWidth="1"/>
    <col min="4612" max="4612" width="9.140625" style="700"/>
    <col min="4613" max="4613" width="16.85546875" style="700" customWidth="1"/>
    <col min="4614" max="4614" width="12.5703125" style="700" customWidth="1"/>
    <col min="4615" max="4615" width="11.7109375" style="700" customWidth="1"/>
    <col min="4616" max="4616" width="12.28515625" style="700" customWidth="1"/>
    <col min="4617" max="4860" width="9.140625" style="700"/>
    <col min="4861" max="4861" width="4.42578125" style="700" customWidth="1"/>
    <col min="4862" max="4862" width="20.85546875" style="700" customWidth="1"/>
    <col min="4863" max="4864" width="12" style="700" customWidth="1"/>
    <col min="4865" max="4865" width="14.5703125" style="700" customWidth="1"/>
    <col min="4866" max="4866" width="12.42578125" style="700" customWidth="1"/>
    <col min="4867" max="4867" width="19.7109375" style="700" customWidth="1"/>
    <col min="4868" max="4868" width="9.140625" style="700"/>
    <col min="4869" max="4869" width="16.85546875" style="700" customWidth="1"/>
    <col min="4870" max="4870" width="12.5703125" style="700" customWidth="1"/>
    <col min="4871" max="4871" width="11.7109375" style="700" customWidth="1"/>
    <col min="4872" max="4872" width="12.28515625" style="700" customWidth="1"/>
    <col min="4873" max="5116" width="9.140625" style="700"/>
    <col min="5117" max="5117" width="4.42578125" style="700" customWidth="1"/>
    <col min="5118" max="5118" width="20.85546875" style="700" customWidth="1"/>
    <col min="5119" max="5120" width="12" style="700" customWidth="1"/>
    <col min="5121" max="5121" width="14.5703125" style="700" customWidth="1"/>
    <col min="5122" max="5122" width="12.42578125" style="700" customWidth="1"/>
    <col min="5123" max="5123" width="19.7109375" style="700" customWidth="1"/>
    <col min="5124" max="5124" width="9.140625" style="700"/>
    <col min="5125" max="5125" width="16.85546875" style="700" customWidth="1"/>
    <col min="5126" max="5126" width="12.5703125" style="700" customWidth="1"/>
    <col min="5127" max="5127" width="11.7109375" style="700" customWidth="1"/>
    <col min="5128" max="5128" width="12.28515625" style="700" customWidth="1"/>
    <col min="5129" max="5372" width="9.140625" style="700"/>
    <col min="5373" max="5373" width="4.42578125" style="700" customWidth="1"/>
    <col min="5374" max="5374" width="20.85546875" style="700" customWidth="1"/>
    <col min="5375" max="5376" width="12" style="700" customWidth="1"/>
    <col min="5377" max="5377" width="14.5703125" style="700" customWidth="1"/>
    <col min="5378" max="5378" width="12.42578125" style="700" customWidth="1"/>
    <col min="5379" max="5379" width="19.7109375" style="700" customWidth="1"/>
    <col min="5380" max="5380" width="9.140625" style="700"/>
    <col min="5381" max="5381" width="16.85546875" style="700" customWidth="1"/>
    <col min="5382" max="5382" width="12.5703125" style="700" customWidth="1"/>
    <col min="5383" max="5383" width="11.7109375" style="700" customWidth="1"/>
    <col min="5384" max="5384" width="12.28515625" style="700" customWidth="1"/>
    <col min="5385" max="5628" width="9.140625" style="700"/>
    <col min="5629" max="5629" width="4.42578125" style="700" customWidth="1"/>
    <col min="5630" max="5630" width="20.85546875" style="700" customWidth="1"/>
    <col min="5631" max="5632" width="12" style="700" customWidth="1"/>
    <col min="5633" max="5633" width="14.5703125" style="700" customWidth="1"/>
    <col min="5634" max="5634" width="12.42578125" style="700" customWidth="1"/>
    <col min="5635" max="5635" width="19.7109375" style="700" customWidth="1"/>
    <col min="5636" max="5636" width="9.140625" style="700"/>
    <col min="5637" max="5637" width="16.85546875" style="700" customWidth="1"/>
    <col min="5638" max="5638" width="12.5703125" style="700" customWidth="1"/>
    <col min="5639" max="5639" width="11.7109375" style="700" customWidth="1"/>
    <col min="5640" max="5640" width="12.28515625" style="700" customWidth="1"/>
    <col min="5641" max="5884" width="9.140625" style="700"/>
    <col min="5885" max="5885" width="4.42578125" style="700" customWidth="1"/>
    <col min="5886" max="5886" width="20.85546875" style="700" customWidth="1"/>
    <col min="5887" max="5888" width="12" style="700" customWidth="1"/>
    <col min="5889" max="5889" width="14.5703125" style="700" customWidth="1"/>
    <col min="5890" max="5890" width="12.42578125" style="700" customWidth="1"/>
    <col min="5891" max="5891" width="19.7109375" style="700" customWidth="1"/>
    <col min="5892" max="5892" width="9.140625" style="700"/>
    <col min="5893" max="5893" width="16.85546875" style="700" customWidth="1"/>
    <col min="5894" max="5894" width="12.5703125" style="700" customWidth="1"/>
    <col min="5895" max="5895" width="11.7109375" style="700" customWidth="1"/>
    <col min="5896" max="5896" width="12.28515625" style="700" customWidth="1"/>
    <col min="5897" max="6140" width="9.140625" style="700"/>
    <col min="6141" max="6141" width="4.42578125" style="700" customWidth="1"/>
    <col min="6142" max="6142" width="20.85546875" style="700" customWidth="1"/>
    <col min="6143" max="6144" width="12" style="700" customWidth="1"/>
    <col min="6145" max="6145" width="14.5703125" style="700" customWidth="1"/>
    <col min="6146" max="6146" width="12.42578125" style="700" customWidth="1"/>
    <col min="6147" max="6147" width="19.7109375" style="700" customWidth="1"/>
    <col min="6148" max="6148" width="9.140625" style="700"/>
    <col min="6149" max="6149" width="16.85546875" style="700" customWidth="1"/>
    <col min="6150" max="6150" width="12.5703125" style="700" customWidth="1"/>
    <col min="6151" max="6151" width="11.7109375" style="700" customWidth="1"/>
    <col min="6152" max="6152" width="12.28515625" style="700" customWidth="1"/>
    <col min="6153" max="6396" width="9.140625" style="700"/>
    <col min="6397" max="6397" width="4.42578125" style="700" customWidth="1"/>
    <col min="6398" max="6398" width="20.85546875" style="700" customWidth="1"/>
    <col min="6399" max="6400" width="12" style="700" customWidth="1"/>
    <col min="6401" max="6401" width="14.5703125" style="700" customWidth="1"/>
    <col min="6402" max="6402" width="12.42578125" style="700" customWidth="1"/>
    <col min="6403" max="6403" width="19.7109375" style="700" customWidth="1"/>
    <col min="6404" max="6404" width="9.140625" style="700"/>
    <col min="6405" max="6405" width="16.85546875" style="700" customWidth="1"/>
    <col min="6406" max="6406" width="12.5703125" style="700" customWidth="1"/>
    <col min="6407" max="6407" width="11.7109375" style="700" customWidth="1"/>
    <col min="6408" max="6408" width="12.28515625" style="700" customWidth="1"/>
    <col min="6409" max="6652" width="9.140625" style="700"/>
    <col min="6653" max="6653" width="4.42578125" style="700" customWidth="1"/>
    <col min="6654" max="6654" width="20.85546875" style="700" customWidth="1"/>
    <col min="6655" max="6656" width="12" style="700" customWidth="1"/>
    <col min="6657" max="6657" width="14.5703125" style="700" customWidth="1"/>
    <col min="6658" max="6658" width="12.42578125" style="700" customWidth="1"/>
    <col min="6659" max="6659" width="19.7109375" style="700" customWidth="1"/>
    <col min="6660" max="6660" width="9.140625" style="700"/>
    <col min="6661" max="6661" width="16.85546875" style="700" customWidth="1"/>
    <col min="6662" max="6662" width="12.5703125" style="700" customWidth="1"/>
    <col min="6663" max="6663" width="11.7109375" style="700" customWidth="1"/>
    <col min="6664" max="6664" width="12.28515625" style="700" customWidth="1"/>
    <col min="6665" max="6908" width="9.140625" style="700"/>
    <col min="6909" max="6909" width="4.42578125" style="700" customWidth="1"/>
    <col min="6910" max="6910" width="20.85546875" style="700" customWidth="1"/>
    <col min="6911" max="6912" width="12" style="700" customWidth="1"/>
    <col min="6913" max="6913" width="14.5703125" style="700" customWidth="1"/>
    <col min="6914" max="6914" width="12.42578125" style="700" customWidth="1"/>
    <col min="6915" max="6915" width="19.7109375" style="700" customWidth="1"/>
    <col min="6916" max="6916" width="9.140625" style="700"/>
    <col min="6917" max="6917" width="16.85546875" style="700" customWidth="1"/>
    <col min="6918" max="6918" width="12.5703125" style="700" customWidth="1"/>
    <col min="6919" max="6919" width="11.7109375" style="700" customWidth="1"/>
    <col min="6920" max="6920" width="12.28515625" style="700" customWidth="1"/>
    <col min="6921" max="7164" width="9.140625" style="700"/>
    <col min="7165" max="7165" width="4.42578125" style="700" customWidth="1"/>
    <col min="7166" max="7166" width="20.85546875" style="700" customWidth="1"/>
    <col min="7167" max="7168" width="12" style="700" customWidth="1"/>
    <col min="7169" max="7169" width="14.5703125" style="700" customWidth="1"/>
    <col min="7170" max="7170" width="12.42578125" style="700" customWidth="1"/>
    <col min="7171" max="7171" width="19.7109375" style="700" customWidth="1"/>
    <col min="7172" max="7172" width="9.140625" style="700"/>
    <col min="7173" max="7173" width="16.85546875" style="700" customWidth="1"/>
    <col min="7174" max="7174" width="12.5703125" style="700" customWidth="1"/>
    <col min="7175" max="7175" width="11.7109375" style="700" customWidth="1"/>
    <col min="7176" max="7176" width="12.28515625" style="700" customWidth="1"/>
    <col min="7177" max="7420" width="9.140625" style="700"/>
    <col min="7421" max="7421" width="4.42578125" style="700" customWidth="1"/>
    <col min="7422" max="7422" width="20.85546875" style="700" customWidth="1"/>
    <col min="7423" max="7424" width="12" style="700" customWidth="1"/>
    <col min="7425" max="7425" width="14.5703125" style="700" customWidth="1"/>
    <col min="7426" max="7426" width="12.42578125" style="700" customWidth="1"/>
    <col min="7427" max="7427" width="19.7109375" style="700" customWidth="1"/>
    <col min="7428" max="7428" width="9.140625" style="700"/>
    <col min="7429" max="7429" width="16.85546875" style="700" customWidth="1"/>
    <col min="7430" max="7430" width="12.5703125" style="700" customWidth="1"/>
    <col min="7431" max="7431" width="11.7109375" style="700" customWidth="1"/>
    <col min="7432" max="7432" width="12.28515625" style="700" customWidth="1"/>
    <col min="7433" max="7676" width="9.140625" style="700"/>
    <col min="7677" max="7677" width="4.42578125" style="700" customWidth="1"/>
    <col min="7678" max="7678" width="20.85546875" style="700" customWidth="1"/>
    <col min="7679" max="7680" width="12" style="700" customWidth="1"/>
    <col min="7681" max="7681" width="14.5703125" style="700" customWidth="1"/>
    <col min="7682" max="7682" width="12.42578125" style="700" customWidth="1"/>
    <col min="7683" max="7683" width="19.7109375" style="700" customWidth="1"/>
    <col min="7684" max="7684" width="9.140625" style="700"/>
    <col min="7685" max="7685" width="16.85546875" style="700" customWidth="1"/>
    <col min="7686" max="7686" width="12.5703125" style="700" customWidth="1"/>
    <col min="7687" max="7687" width="11.7109375" style="700" customWidth="1"/>
    <col min="7688" max="7688" width="12.28515625" style="700" customWidth="1"/>
    <col min="7689" max="7932" width="9.140625" style="700"/>
    <col min="7933" max="7933" width="4.42578125" style="700" customWidth="1"/>
    <col min="7934" max="7934" width="20.85546875" style="700" customWidth="1"/>
    <col min="7935" max="7936" width="12" style="700" customWidth="1"/>
    <col min="7937" max="7937" width="14.5703125" style="700" customWidth="1"/>
    <col min="7938" max="7938" width="12.42578125" style="700" customWidth="1"/>
    <col min="7939" max="7939" width="19.7109375" style="700" customWidth="1"/>
    <col min="7940" max="7940" width="9.140625" style="700"/>
    <col min="7941" max="7941" width="16.85546875" style="700" customWidth="1"/>
    <col min="7942" max="7942" width="12.5703125" style="700" customWidth="1"/>
    <col min="7943" max="7943" width="11.7109375" style="700" customWidth="1"/>
    <col min="7944" max="7944" width="12.28515625" style="700" customWidth="1"/>
    <col min="7945" max="8188" width="9.140625" style="700"/>
    <col min="8189" max="8189" width="4.42578125" style="700" customWidth="1"/>
    <col min="8190" max="8190" width="20.85546875" style="700" customWidth="1"/>
    <col min="8191" max="8192" width="12" style="700" customWidth="1"/>
    <col min="8193" max="8193" width="14.5703125" style="700" customWidth="1"/>
    <col min="8194" max="8194" width="12.42578125" style="700" customWidth="1"/>
    <col min="8195" max="8195" width="19.7109375" style="700" customWidth="1"/>
    <col min="8196" max="8196" width="9.140625" style="700"/>
    <col min="8197" max="8197" width="16.85546875" style="700" customWidth="1"/>
    <col min="8198" max="8198" width="12.5703125" style="700" customWidth="1"/>
    <col min="8199" max="8199" width="11.7109375" style="700" customWidth="1"/>
    <col min="8200" max="8200" width="12.28515625" style="700" customWidth="1"/>
    <col min="8201" max="8444" width="9.140625" style="700"/>
    <col min="8445" max="8445" width="4.42578125" style="700" customWidth="1"/>
    <col min="8446" max="8446" width="20.85546875" style="700" customWidth="1"/>
    <col min="8447" max="8448" width="12" style="700" customWidth="1"/>
    <col min="8449" max="8449" width="14.5703125" style="700" customWidth="1"/>
    <col min="8450" max="8450" width="12.42578125" style="700" customWidth="1"/>
    <col min="8451" max="8451" width="19.7109375" style="700" customWidth="1"/>
    <col min="8452" max="8452" width="9.140625" style="700"/>
    <col min="8453" max="8453" width="16.85546875" style="700" customWidth="1"/>
    <col min="8454" max="8454" width="12.5703125" style="700" customWidth="1"/>
    <col min="8455" max="8455" width="11.7109375" style="700" customWidth="1"/>
    <col min="8456" max="8456" width="12.28515625" style="700" customWidth="1"/>
    <col min="8457" max="8700" width="9.140625" style="700"/>
    <col min="8701" max="8701" width="4.42578125" style="700" customWidth="1"/>
    <col min="8702" max="8702" width="20.85546875" style="700" customWidth="1"/>
    <col min="8703" max="8704" width="12" style="700" customWidth="1"/>
    <col min="8705" max="8705" width="14.5703125" style="700" customWidth="1"/>
    <col min="8706" max="8706" width="12.42578125" style="700" customWidth="1"/>
    <col min="8707" max="8707" width="19.7109375" style="700" customWidth="1"/>
    <col min="8708" max="8708" width="9.140625" style="700"/>
    <col min="8709" max="8709" width="16.85546875" style="700" customWidth="1"/>
    <col min="8710" max="8710" width="12.5703125" style="700" customWidth="1"/>
    <col min="8711" max="8711" width="11.7109375" style="700" customWidth="1"/>
    <col min="8712" max="8712" width="12.28515625" style="700" customWidth="1"/>
    <col min="8713" max="8956" width="9.140625" style="700"/>
    <col min="8957" max="8957" width="4.42578125" style="700" customWidth="1"/>
    <col min="8958" max="8958" width="20.85546875" style="700" customWidth="1"/>
    <col min="8959" max="8960" width="12" style="700" customWidth="1"/>
    <col min="8961" max="8961" width="14.5703125" style="700" customWidth="1"/>
    <col min="8962" max="8962" width="12.42578125" style="700" customWidth="1"/>
    <col min="8963" max="8963" width="19.7109375" style="700" customWidth="1"/>
    <col min="8964" max="8964" width="9.140625" style="700"/>
    <col min="8965" max="8965" width="16.85546875" style="700" customWidth="1"/>
    <col min="8966" max="8966" width="12.5703125" style="700" customWidth="1"/>
    <col min="8967" max="8967" width="11.7109375" style="700" customWidth="1"/>
    <col min="8968" max="8968" width="12.28515625" style="700" customWidth="1"/>
    <col min="8969" max="9212" width="9.140625" style="700"/>
    <col min="9213" max="9213" width="4.42578125" style="700" customWidth="1"/>
    <col min="9214" max="9214" width="20.85546875" style="700" customWidth="1"/>
    <col min="9215" max="9216" width="12" style="700" customWidth="1"/>
    <col min="9217" max="9217" width="14.5703125" style="700" customWidth="1"/>
    <col min="9218" max="9218" width="12.42578125" style="700" customWidth="1"/>
    <col min="9219" max="9219" width="19.7109375" style="700" customWidth="1"/>
    <col min="9220" max="9220" width="9.140625" style="700"/>
    <col min="9221" max="9221" width="16.85546875" style="700" customWidth="1"/>
    <col min="9222" max="9222" width="12.5703125" style="700" customWidth="1"/>
    <col min="9223" max="9223" width="11.7109375" style="700" customWidth="1"/>
    <col min="9224" max="9224" width="12.28515625" style="700" customWidth="1"/>
    <col min="9225" max="9468" width="9.140625" style="700"/>
    <col min="9469" max="9469" width="4.42578125" style="700" customWidth="1"/>
    <col min="9470" max="9470" width="20.85546875" style="700" customWidth="1"/>
    <col min="9471" max="9472" width="12" style="700" customWidth="1"/>
    <col min="9473" max="9473" width="14.5703125" style="700" customWidth="1"/>
    <col min="9474" max="9474" width="12.42578125" style="700" customWidth="1"/>
    <col min="9475" max="9475" width="19.7109375" style="700" customWidth="1"/>
    <col min="9476" max="9476" width="9.140625" style="700"/>
    <col min="9477" max="9477" width="16.85546875" style="700" customWidth="1"/>
    <col min="9478" max="9478" width="12.5703125" style="700" customWidth="1"/>
    <col min="9479" max="9479" width="11.7109375" style="700" customWidth="1"/>
    <col min="9480" max="9480" width="12.28515625" style="700" customWidth="1"/>
    <col min="9481" max="9724" width="9.140625" style="700"/>
    <col min="9725" max="9725" width="4.42578125" style="700" customWidth="1"/>
    <col min="9726" max="9726" width="20.85546875" style="700" customWidth="1"/>
    <col min="9727" max="9728" width="12" style="700" customWidth="1"/>
    <col min="9729" max="9729" width="14.5703125" style="700" customWidth="1"/>
    <col min="9730" max="9730" width="12.42578125" style="700" customWidth="1"/>
    <col min="9731" max="9731" width="19.7109375" style="700" customWidth="1"/>
    <col min="9732" max="9732" width="9.140625" style="700"/>
    <col min="9733" max="9733" width="16.85546875" style="700" customWidth="1"/>
    <col min="9734" max="9734" width="12.5703125" style="700" customWidth="1"/>
    <col min="9735" max="9735" width="11.7109375" style="700" customWidth="1"/>
    <col min="9736" max="9736" width="12.28515625" style="700" customWidth="1"/>
    <col min="9737" max="9980" width="9.140625" style="700"/>
    <col min="9981" max="9981" width="4.42578125" style="700" customWidth="1"/>
    <col min="9982" max="9982" width="20.85546875" style="700" customWidth="1"/>
    <col min="9983" max="9984" width="12" style="700" customWidth="1"/>
    <col min="9985" max="9985" width="14.5703125" style="700" customWidth="1"/>
    <col min="9986" max="9986" width="12.42578125" style="700" customWidth="1"/>
    <col min="9987" max="9987" width="19.7109375" style="700" customWidth="1"/>
    <col min="9988" max="9988" width="9.140625" style="700"/>
    <col min="9989" max="9989" width="16.85546875" style="700" customWidth="1"/>
    <col min="9990" max="9990" width="12.5703125" style="700" customWidth="1"/>
    <col min="9991" max="9991" width="11.7109375" style="700" customWidth="1"/>
    <col min="9992" max="9992" width="12.28515625" style="700" customWidth="1"/>
    <col min="9993" max="10236" width="9.140625" style="700"/>
    <col min="10237" max="10237" width="4.42578125" style="700" customWidth="1"/>
    <col min="10238" max="10238" width="20.85546875" style="700" customWidth="1"/>
    <col min="10239" max="10240" width="12" style="700" customWidth="1"/>
    <col min="10241" max="10241" width="14.5703125" style="700" customWidth="1"/>
    <col min="10242" max="10242" width="12.42578125" style="700" customWidth="1"/>
    <col min="10243" max="10243" width="19.7109375" style="700" customWidth="1"/>
    <col min="10244" max="10244" width="9.140625" style="700"/>
    <col min="10245" max="10245" width="16.85546875" style="700" customWidth="1"/>
    <col min="10246" max="10246" width="12.5703125" style="700" customWidth="1"/>
    <col min="10247" max="10247" width="11.7109375" style="700" customWidth="1"/>
    <col min="10248" max="10248" width="12.28515625" style="700" customWidth="1"/>
    <col min="10249" max="10492" width="9.140625" style="700"/>
    <col min="10493" max="10493" width="4.42578125" style="700" customWidth="1"/>
    <col min="10494" max="10494" width="20.85546875" style="700" customWidth="1"/>
    <col min="10495" max="10496" width="12" style="700" customWidth="1"/>
    <col min="10497" max="10497" width="14.5703125" style="700" customWidth="1"/>
    <col min="10498" max="10498" width="12.42578125" style="700" customWidth="1"/>
    <col min="10499" max="10499" width="19.7109375" style="700" customWidth="1"/>
    <col min="10500" max="10500" width="9.140625" style="700"/>
    <col min="10501" max="10501" width="16.85546875" style="700" customWidth="1"/>
    <col min="10502" max="10502" width="12.5703125" style="700" customWidth="1"/>
    <col min="10503" max="10503" width="11.7109375" style="700" customWidth="1"/>
    <col min="10504" max="10504" width="12.28515625" style="700" customWidth="1"/>
    <col min="10505" max="10748" width="9.140625" style="700"/>
    <col min="10749" max="10749" width="4.42578125" style="700" customWidth="1"/>
    <col min="10750" max="10750" width="20.85546875" style="700" customWidth="1"/>
    <col min="10751" max="10752" width="12" style="700" customWidth="1"/>
    <col min="10753" max="10753" width="14.5703125" style="700" customWidth="1"/>
    <col min="10754" max="10754" width="12.42578125" style="700" customWidth="1"/>
    <col min="10755" max="10755" width="19.7109375" style="700" customWidth="1"/>
    <col min="10756" max="10756" width="9.140625" style="700"/>
    <col min="10757" max="10757" width="16.85546875" style="700" customWidth="1"/>
    <col min="10758" max="10758" width="12.5703125" style="700" customWidth="1"/>
    <col min="10759" max="10759" width="11.7109375" style="700" customWidth="1"/>
    <col min="10760" max="10760" width="12.28515625" style="700" customWidth="1"/>
    <col min="10761" max="11004" width="9.140625" style="700"/>
    <col min="11005" max="11005" width="4.42578125" style="700" customWidth="1"/>
    <col min="11006" max="11006" width="20.85546875" style="700" customWidth="1"/>
    <col min="11007" max="11008" width="12" style="700" customWidth="1"/>
    <col min="11009" max="11009" width="14.5703125" style="700" customWidth="1"/>
    <col min="11010" max="11010" width="12.42578125" style="700" customWidth="1"/>
    <col min="11011" max="11011" width="19.7109375" style="700" customWidth="1"/>
    <col min="11012" max="11012" width="9.140625" style="700"/>
    <col min="11013" max="11013" width="16.85546875" style="700" customWidth="1"/>
    <col min="11014" max="11014" width="12.5703125" style="700" customWidth="1"/>
    <col min="11015" max="11015" width="11.7109375" style="700" customWidth="1"/>
    <col min="11016" max="11016" width="12.28515625" style="700" customWidth="1"/>
    <col min="11017" max="11260" width="9.140625" style="700"/>
    <col min="11261" max="11261" width="4.42578125" style="700" customWidth="1"/>
    <col min="11262" max="11262" width="20.85546875" style="700" customWidth="1"/>
    <col min="11263" max="11264" width="12" style="700" customWidth="1"/>
    <col min="11265" max="11265" width="14.5703125" style="700" customWidth="1"/>
    <col min="11266" max="11266" width="12.42578125" style="700" customWidth="1"/>
    <col min="11267" max="11267" width="19.7109375" style="700" customWidth="1"/>
    <col min="11268" max="11268" width="9.140625" style="700"/>
    <col min="11269" max="11269" width="16.85546875" style="700" customWidth="1"/>
    <col min="11270" max="11270" width="12.5703125" style="700" customWidth="1"/>
    <col min="11271" max="11271" width="11.7109375" style="700" customWidth="1"/>
    <col min="11272" max="11272" width="12.28515625" style="700" customWidth="1"/>
    <col min="11273" max="11516" width="9.140625" style="700"/>
    <col min="11517" max="11517" width="4.42578125" style="700" customWidth="1"/>
    <col min="11518" max="11518" width="20.85546875" style="700" customWidth="1"/>
    <col min="11519" max="11520" width="12" style="700" customWidth="1"/>
    <col min="11521" max="11521" width="14.5703125" style="700" customWidth="1"/>
    <col min="11522" max="11522" width="12.42578125" style="700" customWidth="1"/>
    <col min="11523" max="11523" width="19.7109375" style="700" customWidth="1"/>
    <col min="11524" max="11524" width="9.140625" style="700"/>
    <col min="11525" max="11525" width="16.85546875" style="700" customWidth="1"/>
    <col min="11526" max="11526" width="12.5703125" style="700" customWidth="1"/>
    <col min="11527" max="11527" width="11.7109375" style="700" customWidth="1"/>
    <col min="11528" max="11528" width="12.28515625" style="700" customWidth="1"/>
    <col min="11529" max="11772" width="9.140625" style="700"/>
    <col min="11773" max="11773" width="4.42578125" style="700" customWidth="1"/>
    <col min="11774" max="11774" width="20.85546875" style="700" customWidth="1"/>
    <col min="11775" max="11776" width="12" style="700" customWidth="1"/>
    <col min="11777" max="11777" width="14.5703125" style="700" customWidth="1"/>
    <col min="11778" max="11778" width="12.42578125" style="700" customWidth="1"/>
    <col min="11779" max="11779" width="19.7109375" style="700" customWidth="1"/>
    <col min="11780" max="11780" width="9.140625" style="700"/>
    <col min="11781" max="11781" width="16.85546875" style="700" customWidth="1"/>
    <col min="11782" max="11782" width="12.5703125" style="700" customWidth="1"/>
    <col min="11783" max="11783" width="11.7109375" style="700" customWidth="1"/>
    <col min="11784" max="11784" width="12.28515625" style="700" customWidth="1"/>
    <col min="11785" max="12028" width="9.140625" style="700"/>
    <col min="12029" max="12029" width="4.42578125" style="700" customWidth="1"/>
    <col min="12030" max="12030" width="20.85546875" style="700" customWidth="1"/>
    <col min="12031" max="12032" width="12" style="700" customWidth="1"/>
    <col min="12033" max="12033" width="14.5703125" style="700" customWidth="1"/>
    <col min="12034" max="12034" width="12.42578125" style="700" customWidth="1"/>
    <col min="12035" max="12035" width="19.7109375" style="700" customWidth="1"/>
    <col min="12036" max="12036" width="9.140625" style="700"/>
    <col min="12037" max="12037" width="16.85546875" style="700" customWidth="1"/>
    <col min="12038" max="12038" width="12.5703125" style="700" customWidth="1"/>
    <col min="12039" max="12039" width="11.7109375" style="700" customWidth="1"/>
    <col min="12040" max="12040" width="12.28515625" style="700" customWidth="1"/>
    <col min="12041" max="12284" width="9.140625" style="700"/>
    <col min="12285" max="12285" width="4.42578125" style="700" customWidth="1"/>
    <col min="12286" max="12286" width="20.85546875" style="700" customWidth="1"/>
    <col min="12287" max="12288" width="12" style="700" customWidth="1"/>
    <col min="12289" max="12289" width="14.5703125" style="700" customWidth="1"/>
    <col min="12290" max="12290" width="12.42578125" style="700" customWidth="1"/>
    <col min="12291" max="12291" width="19.7109375" style="700" customWidth="1"/>
    <col min="12292" max="12292" width="9.140625" style="700"/>
    <col min="12293" max="12293" width="16.85546875" style="700" customWidth="1"/>
    <col min="12294" max="12294" width="12.5703125" style="700" customWidth="1"/>
    <col min="12295" max="12295" width="11.7109375" style="700" customWidth="1"/>
    <col min="12296" max="12296" width="12.28515625" style="700" customWidth="1"/>
    <col min="12297" max="12540" width="9.140625" style="700"/>
    <col min="12541" max="12541" width="4.42578125" style="700" customWidth="1"/>
    <col min="12542" max="12542" width="20.85546875" style="700" customWidth="1"/>
    <col min="12543" max="12544" width="12" style="700" customWidth="1"/>
    <col min="12545" max="12545" width="14.5703125" style="700" customWidth="1"/>
    <col min="12546" max="12546" width="12.42578125" style="700" customWidth="1"/>
    <col min="12547" max="12547" width="19.7109375" style="700" customWidth="1"/>
    <col min="12548" max="12548" width="9.140625" style="700"/>
    <col min="12549" max="12549" width="16.85546875" style="700" customWidth="1"/>
    <col min="12550" max="12550" width="12.5703125" style="700" customWidth="1"/>
    <col min="12551" max="12551" width="11.7109375" style="700" customWidth="1"/>
    <col min="12552" max="12552" width="12.28515625" style="700" customWidth="1"/>
    <col min="12553" max="12796" width="9.140625" style="700"/>
    <col min="12797" max="12797" width="4.42578125" style="700" customWidth="1"/>
    <col min="12798" max="12798" width="20.85546875" style="700" customWidth="1"/>
    <col min="12799" max="12800" width="12" style="700" customWidth="1"/>
    <col min="12801" max="12801" width="14.5703125" style="700" customWidth="1"/>
    <col min="12802" max="12802" width="12.42578125" style="700" customWidth="1"/>
    <col min="12803" max="12803" width="19.7109375" style="700" customWidth="1"/>
    <col min="12804" max="12804" width="9.140625" style="700"/>
    <col min="12805" max="12805" width="16.85546875" style="700" customWidth="1"/>
    <col min="12806" max="12806" width="12.5703125" style="700" customWidth="1"/>
    <col min="12807" max="12807" width="11.7109375" style="700" customWidth="1"/>
    <col min="12808" max="12808" width="12.28515625" style="700" customWidth="1"/>
    <col min="12809" max="13052" width="9.140625" style="700"/>
    <col min="13053" max="13053" width="4.42578125" style="700" customWidth="1"/>
    <col min="13054" max="13054" width="20.85546875" style="700" customWidth="1"/>
    <col min="13055" max="13056" width="12" style="700" customWidth="1"/>
    <col min="13057" max="13057" width="14.5703125" style="700" customWidth="1"/>
    <col min="13058" max="13058" width="12.42578125" style="700" customWidth="1"/>
    <col min="13059" max="13059" width="19.7109375" style="700" customWidth="1"/>
    <col min="13060" max="13060" width="9.140625" style="700"/>
    <col min="13061" max="13061" width="16.85546875" style="700" customWidth="1"/>
    <col min="13062" max="13062" width="12.5703125" style="700" customWidth="1"/>
    <col min="13063" max="13063" width="11.7109375" style="700" customWidth="1"/>
    <col min="13064" max="13064" width="12.28515625" style="700" customWidth="1"/>
    <col min="13065" max="13308" width="9.140625" style="700"/>
    <col min="13309" max="13309" width="4.42578125" style="700" customWidth="1"/>
    <col min="13310" max="13310" width="20.85546875" style="700" customWidth="1"/>
    <col min="13311" max="13312" width="12" style="700" customWidth="1"/>
    <col min="13313" max="13313" width="14.5703125" style="700" customWidth="1"/>
    <col min="13314" max="13314" width="12.42578125" style="700" customWidth="1"/>
    <col min="13315" max="13315" width="19.7109375" style="700" customWidth="1"/>
    <col min="13316" max="13316" width="9.140625" style="700"/>
    <col min="13317" max="13317" width="16.85546875" style="700" customWidth="1"/>
    <col min="13318" max="13318" width="12.5703125" style="700" customWidth="1"/>
    <col min="13319" max="13319" width="11.7109375" style="700" customWidth="1"/>
    <col min="13320" max="13320" width="12.28515625" style="700" customWidth="1"/>
    <col min="13321" max="13564" width="9.140625" style="700"/>
    <col min="13565" max="13565" width="4.42578125" style="700" customWidth="1"/>
    <col min="13566" max="13566" width="20.85546875" style="700" customWidth="1"/>
    <col min="13567" max="13568" width="12" style="700" customWidth="1"/>
    <col min="13569" max="13569" width="14.5703125" style="700" customWidth="1"/>
    <col min="13570" max="13570" width="12.42578125" style="700" customWidth="1"/>
    <col min="13571" max="13571" width="19.7109375" style="700" customWidth="1"/>
    <col min="13572" max="13572" width="9.140625" style="700"/>
    <col min="13573" max="13573" width="16.85546875" style="700" customWidth="1"/>
    <col min="13574" max="13574" width="12.5703125" style="700" customWidth="1"/>
    <col min="13575" max="13575" width="11.7109375" style="700" customWidth="1"/>
    <col min="13576" max="13576" width="12.28515625" style="700" customWidth="1"/>
    <col min="13577" max="13820" width="9.140625" style="700"/>
    <col min="13821" max="13821" width="4.42578125" style="700" customWidth="1"/>
    <col min="13822" max="13822" width="20.85546875" style="700" customWidth="1"/>
    <col min="13823" max="13824" width="12" style="700" customWidth="1"/>
    <col min="13825" max="13825" width="14.5703125" style="700" customWidth="1"/>
    <col min="13826" max="13826" width="12.42578125" style="700" customWidth="1"/>
    <col min="13827" max="13827" width="19.7109375" style="700" customWidth="1"/>
    <col min="13828" max="13828" width="9.140625" style="700"/>
    <col min="13829" max="13829" width="16.85546875" style="700" customWidth="1"/>
    <col min="13830" max="13830" width="12.5703125" style="700" customWidth="1"/>
    <col min="13831" max="13831" width="11.7109375" style="700" customWidth="1"/>
    <col min="13832" max="13832" width="12.28515625" style="700" customWidth="1"/>
    <col min="13833" max="14076" width="9.140625" style="700"/>
    <col min="14077" max="14077" width="4.42578125" style="700" customWidth="1"/>
    <col min="14078" max="14078" width="20.85546875" style="700" customWidth="1"/>
    <col min="14079" max="14080" width="12" style="700" customWidth="1"/>
    <col min="14081" max="14081" width="14.5703125" style="700" customWidth="1"/>
    <col min="14082" max="14082" width="12.42578125" style="700" customWidth="1"/>
    <col min="14083" max="14083" width="19.7109375" style="700" customWidth="1"/>
    <col min="14084" max="14084" width="9.140625" style="700"/>
    <col min="14085" max="14085" width="16.85546875" style="700" customWidth="1"/>
    <col min="14086" max="14086" width="12.5703125" style="700" customWidth="1"/>
    <col min="14087" max="14087" width="11.7109375" style="700" customWidth="1"/>
    <col min="14088" max="14088" width="12.28515625" style="700" customWidth="1"/>
    <col min="14089" max="14332" width="9.140625" style="700"/>
    <col min="14333" max="14333" width="4.42578125" style="700" customWidth="1"/>
    <col min="14334" max="14334" width="20.85546875" style="700" customWidth="1"/>
    <col min="14335" max="14336" width="12" style="700" customWidth="1"/>
    <col min="14337" max="14337" width="14.5703125" style="700" customWidth="1"/>
    <col min="14338" max="14338" width="12.42578125" style="700" customWidth="1"/>
    <col min="14339" max="14339" width="19.7109375" style="700" customWidth="1"/>
    <col min="14340" max="14340" width="9.140625" style="700"/>
    <col min="14341" max="14341" width="16.85546875" style="700" customWidth="1"/>
    <col min="14342" max="14342" width="12.5703125" style="700" customWidth="1"/>
    <col min="14343" max="14343" width="11.7109375" style="700" customWidth="1"/>
    <col min="14344" max="14344" width="12.28515625" style="700" customWidth="1"/>
    <col min="14345" max="14588" width="9.140625" style="700"/>
    <col min="14589" max="14589" width="4.42578125" style="700" customWidth="1"/>
    <col min="14590" max="14590" width="20.85546875" style="700" customWidth="1"/>
    <col min="14591" max="14592" width="12" style="700" customWidth="1"/>
    <col min="14593" max="14593" width="14.5703125" style="700" customWidth="1"/>
    <col min="14594" max="14594" width="12.42578125" style="700" customWidth="1"/>
    <col min="14595" max="14595" width="19.7109375" style="700" customWidth="1"/>
    <col min="14596" max="14596" width="9.140625" style="700"/>
    <col min="14597" max="14597" width="16.85546875" style="700" customWidth="1"/>
    <col min="14598" max="14598" width="12.5703125" style="700" customWidth="1"/>
    <col min="14599" max="14599" width="11.7109375" style="700" customWidth="1"/>
    <col min="14600" max="14600" width="12.28515625" style="700" customWidth="1"/>
    <col min="14601" max="14844" width="9.140625" style="700"/>
    <col min="14845" max="14845" width="4.42578125" style="700" customWidth="1"/>
    <col min="14846" max="14846" width="20.85546875" style="700" customWidth="1"/>
    <col min="14847" max="14848" width="12" style="700" customWidth="1"/>
    <col min="14849" max="14849" width="14.5703125" style="700" customWidth="1"/>
    <col min="14850" max="14850" width="12.42578125" style="700" customWidth="1"/>
    <col min="14851" max="14851" width="19.7109375" style="700" customWidth="1"/>
    <col min="14852" max="14852" width="9.140625" style="700"/>
    <col min="14853" max="14853" width="16.85546875" style="700" customWidth="1"/>
    <col min="14854" max="14854" width="12.5703125" style="700" customWidth="1"/>
    <col min="14855" max="14855" width="11.7109375" style="700" customWidth="1"/>
    <col min="14856" max="14856" width="12.28515625" style="700" customWidth="1"/>
    <col min="14857" max="15100" width="9.140625" style="700"/>
    <col min="15101" max="15101" width="4.42578125" style="700" customWidth="1"/>
    <col min="15102" max="15102" width="20.85546875" style="700" customWidth="1"/>
    <col min="15103" max="15104" width="12" style="700" customWidth="1"/>
    <col min="15105" max="15105" width="14.5703125" style="700" customWidth="1"/>
    <col min="15106" max="15106" width="12.42578125" style="700" customWidth="1"/>
    <col min="15107" max="15107" width="19.7109375" style="700" customWidth="1"/>
    <col min="15108" max="15108" width="9.140625" style="700"/>
    <col min="15109" max="15109" width="16.85546875" style="700" customWidth="1"/>
    <col min="15110" max="15110" width="12.5703125" style="700" customWidth="1"/>
    <col min="15111" max="15111" width="11.7109375" style="700" customWidth="1"/>
    <col min="15112" max="15112" width="12.28515625" style="700" customWidth="1"/>
    <col min="15113" max="15356" width="9.140625" style="700"/>
    <col min="15357" max="15357" width="4.42578125" style="700" customWidth="1"/>
    <col min="15358" max="15358" width="20.85546875" style="700" customWidth="1"/>
    <col min="15359" max="15360" width="12" style="700" customWidth="1"/>
    <col min="15361" max="15361" width="14.5703125" style="700" customWidth="1"/>
    <col min="15362" max="15362" width="12.42578125" style="700" customWidth="1"/>
    <col min="15363" max="15363" width="19.7109375" style="700" customWidth="1"/>
    <col min="15364" max="15364" width="9.140625" style="700"/>
    <col min="15365" max="15365" width="16.85546875" style="700" customWidth="1"/>
    <col min="15366" max="15366" width="12.5703125" style="700" customWidth="1"/>
    <col min="15367" max="15367" width="11.7109375" style="700" customWidth="1"/>
    <col min="15368" max="15368" width="12.28515625" style="700" customWidth="1"/>
    <col min="15369" max="15612" width="9.140625" style="700"/>
    <col min="15613" max="15613" width="4.42578125" style="700" customWidth="1"/>
    <col min="15614" max="15614" width="20.85546875" style="700" customWidth="1"/>
    <col min="15615" max="15616" width="12" style="700" customWidth="1"/>
    <col min="15617" max="15617" width="14.5703125" style="700" customWidth="1"/>
    <col min="15618" max="15618" width="12.42578125" style="700" customWidth="1"/>
    <col min="15619" max="15619" width="19.7109375" style="700" customWidth="1"/>
    <col min="15620" max="15620" width="9.140625" style="700"/>
    <col min="15621" max="15621" width="16.85546875" style="700" customWidth="1"/>
    <col min="15622" max="15622" width="12.5703125" style="700" customWidth="1"/>
    <col min="15623" max="15623" width="11.7109375" style="700" customWidth="1"/>
    <col min="15624" max="15624" width="12.28515625" style="700" customWidth="1"/>
    <col min="15625" max="15868" width="9.140625" style="700"/>
    <col min="15869" max="15869" width="4.42578125" style="700" customWidth="1"/>
    <col min="15870" max="15870" width="20.85546875" style="700" customWidth="1"/>
    <col min="15871" max="15872" width="12" style="700" customWidth="1"/>
    <col min="15873" max="15873" width="14.5703125" style="700" customWidth="1"/>
    <col min="15874" max="15874" width="12.42578125" style="700" customWidth="1"/>
    <col min="15875" max="15875" width="19.7109375" style="700" customWidth="1"/>
    <col min="15876" max="15876" width="9.140625" style="700"/>
    <col min="15877" max="15877" width="16.85546875" style="700" customWidth="1"/>
    <col min="15878" max="15878" width="12.5703125" style="700" customWidth="1"/>
    <col min="15879" max="15879" width="11.7109375" style="700" customWidth="1"/>
    <col min="15880" max="15880" width="12.28515625" style="700" customWidth="1"/>
    <col min="15881" max="16124" width="9.140625" style="700"/>
    <col min="16125" max="16125" width="4.42578125" style="700" customWidth="1"/>
    <col min="16126" max="16126" width="20.85546875" style="700" customWidth="1"/>
    <col min="16127" max="16128" width="12" style="700" customWidth="1"/>
    <col min="16129" max="16129" width="14.5703125" style="700" customWidth="1"/>
    <col min="16130" max="16130" width="12.42578125" style="700" customWidth="1"/>
    <col min="16131" max="16131" width="19.7109375" style="700" customWidth="1"/>
    <col min="16132" max="16132" width="9.140625" style="700"/>
    <col min="16133" max="16133" width="16.85546875" style="700" customWidth="1"/>
    <col min="16134" max="16134" width="12.5703125" style="700" customWidth="1"/>
    <col min="16135" max="16135" width="11.7109375" style="700" customWidth="1"/>
    <col min="16136" max="16136" width="12.28515625" style="700" customWidth="1"/>
    <col min="16137" max="16384" width="9.140625" style="700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18" t="s">
        <v>365</v>
      </c>
      <c r="C5" s="1218"/>
      <c r="D5" s="1218"/>
      <c r="E5" s="1218"/>
      <c r="F5" s="1218"/>
      <c r="G5" s="1218"/>
      <c r="I5" s="685" t="s">
        <v>337</v>
      </c>
    </row>
    <row r="6" spans="2:11" ht="15.75" customHeight="1" thickBot="1">
      <c r="B6" s="1219" t="s">
        <v>172</v>
      </c>
      <c r="C6" s="1221" t="s">
        <v>366</v>
      </c>
      <c r="D6" s="1222"/>
      <c r="E6" s="1223"/>
      <c r="F6" s="1224" t="s">
        <v>367</v>
      </c>
      <c r="G6" s="1219" t="s">
        <v>368</v>
      </c>
    </row>
    <row r="7" spans="2:11" ht="31.5" customHeight="1" thickBot="1">
      <c r="B7" s="1220"/>
      <c r="C7" s="920" t="s">
        <v>317</v>
      </c>
      <c r="D7" s="920" t="s">
        <v>326</v>
      </c>
      <c r="E7" s="920" t="s">
        <v>327</v>
      </c>
      <c r="F7" s="1225"/>
      <c r="G7" s="1220"/>
    </row>
    <row r="8" spans="2:11" ht="17.25" customHeight="1" thickBot="1">
      <c r="B8" s="921" t="s">
        <v>173</v>
      </c>
      <c r="C8" s="790">
        <v>876.52099999999996</v>
      </c>
      <c r="D8" s="790">
        <v>251.506</v>
      </c>
      <c r="E8" s="989">
        <f>(D8/C8)*100</f>
        <v>28.693665069062806</v>
      </c>
      <c r="F8" s="790">
        <v>852.88400000000001</v>
      </c>
      <c r="G8" s="989">
        <f>((C8-F8)/F8)*100</f>
        <v>2.7714202634824834</v>
      </c>
      <c r="I8" s="721" t="s">
        <v>174</v>
      </c>
    </row>
    <row r="9" spans="2:11" ht="18" customHeight="1" thickBot="1">
      <c r="B9" s="922" t="s">
        <v>175</v>
      </c>
      <c r="C9" s="791">
        <v>3860</v>
      </c>
      <c r="D9" s="791">
        <v>576</v>
      </c>
      <c r="E9" s="990">
        <f t="shared" ref="E9:E13" si="0">(D9/C9)*100</f>
        <v>14.922279792746112</v>
      </c>
      <c r="F9" s="791">
        <v>4376</v>
      </c>
      <c r="G9" s="990">
        <f t="shared" ref="G9:G13" si="1">((C9-F9)/F9)*100</f>
        <v>-11.791590493601463</v>
      </c>
      <c r="I9" s="684">
        <f>C9-F9</f>
        <v>-516</v>
      </c>
    </row>
    <row r="10" spans="2:11" ht="15" customHeight="1" thickBot="1">
      <c r="B10" s="923" t="s">
        <v>309</v>
      </c>
      <c r="C10" s="792">
        <v>1877</v>
      </c>
      <c r="D10" s="793">
        <v>0</v>
      </c>
      <c r="E10" s="990">
        <f t="shared" si="0"/>
        <v>0</v>
      </c>
      <c r="F10" s="794">
        <v>2373</v>
      </c>
      <c r="G10" s="990">
        <f t="shared" si="1"/>
        <v>-20.901812052254531</v>
      </c>
    </row>
    <row r="11" spans="2:11" ht="17.25" customHeight="1" thickBot="1">
      <c r="B11" s="924" t="s">
        <v>176</v>
      </c>
      <c r="C11" s="795">
        <v>19667.098999999998</v>
      </c>
      <c r="D11" s="796">
        <v>1175.4739999999999</v>
      </c>
      <c r="E11" s="991">
        <f t="shared" si="0"/>
        <v>5.9768550511694682</v>
      </c>
      <c r="F11" s="796">
        <v>22571.664000000001</v>
      </c>
      <c r="G11" s="991">
        <f t="shared" si="1"/>
        <v>-12.868191729240708</v>
      </c>
      <c r="K11" s="918"/>
    </row>
    <row r="12" spans="2:11" ht="15" customHeight="1" thickBot="1">
      <c r="B12" s="921" t="s">
        <v>177</v>
      </c>
      <c r="C12" s="790">
        <v>7851.4790000000003</v>
      </c>
      <c r="D12" s="790">
        <v>1535.893</v>
      </c>
      <c r="E12" s="990">
        <f t="shared" si="0"/>
        <v>19.561830325216434</v>
      </c>
      <c r="F12" s="790">
        <v>6856.268</v>
      </c>
      <c r="G12" s="990">
        <f t="shared" si="1"/>
        <v>14.515345666184581</v>
      </c>
    </row>
    <row r="13" spans="2:11" ht="15" customHeight="1" thickBot="1">
      <c r="B13" s="921" t="s">
        <v>178</v>
      </c>
      <c r="C13" s="790">
        <f t="shared" ref="C13:D13" si="2">C11+C12</f>
        <v>27518.577999999998</v>
      </c>
      <c r="D13" s="790">
        <f t="shared" si="2"/>
        <v>2711.3670000000002</v>
      </c>
      <c r="E13" s="992">
        <f t="shared" si="0"/>
        <v>9.8528601296186178</v>
      </c>
      <c r="F13" s="790">
        <f t="shared" ref="F13" si="3">F11+F12</f>
        <v>29427.932000000001</v>
      </c>
      <c r="G13" s="992">
        <f t="shared" si="1"/>
        <v>-6.4882370939283227</v>
      </c>
    </row>
    <row r="14" spans="2:11">
      <c r="C14" s="939"/>
      <c r="D14" s="939"/>
    </row>
    <row r="16" spans="2:11" ht="15.75">
      <c r="B16" s="591" t="s">
        <v>310</v>
      </c>
    </row>
    <row r="18" spans="1:13" ht="33" customHeight="1" thickBot="1">
      <c r="B18" s="1218" t="s">
        <v>369</v>
      </c>
      <c r="C18" s="1218"/>
      <c r="D18" s="1218"/>
      <c r="E18" s="1218"/>
      <c r="F18" s="1218"/>
      <c r="G18" s="1218"/>
      <c r="L18" s="122"/>
      <c r="M18" s="122"/>
    </row>
    <row r="19" spans="1:13" ht="24.75" customHeight="1" thickBot="1">
      <c r="B19" s="1214" t="s">
        <v>179</v>
      </c>
      <c r="C19" s="1227" t="s">
        <v>366</v>
      </c>
      <c r="D19" s="1228"/>
      <c r="E19" s="1229"/>
      <c r="F19" s="1230" t="s">
        <v>367</v>
      </c>
      <c r="G19" s="1214" t="s">
        <v>368</v>
      </c>
      <c r="K19" s="122"/>
      <c r="L19" s="122"/>
      <c r="M19" s="122"/>
    </row>
    <row r="20" spans="1:13" ht="21" customHeight="1" thickBot="1">
      <c r="B20" s="1226"/>
      <c r="C20" s="975" t="s">
        <v>317</v>
      </c>
      <c r="D20" s="975" t="s">
        <v>326</v>
      </c>
      <c r="E20" s="975" t="s">
        <v>327</v>
      </c>
      <c r="F20" s="1231"/>
      <c r="G20" s="1215"/>
      <c r="K20" s="122"/>
      <c r="L20" s="122"/>
      <c r="M20" s="993"/>
    </row>
    <row r="21" spans="1:13" ht="15.75" thickBot="1">
      <c r="B21" s="589" t="s">
        <v>173</v>
      </c>
      <c r="C21" s="790">
        <v>2791.5309999999999</v>
      </c>
      <c r="D21" s="797">
        <v>0</v>
      </c>
      <c r="E21" s="989">
        <f>(D21/C21)*100</f>
        <v>0</v>
      </c>
      <c r="F21" s="790">
        <v>4754.8180000000002</v>
      </c>
      <c r="G21" s="989">
        <f>((C21-F21)/F21)*100</f>
        <v>-41.290476312658022</v>
      </c>
      <c r="I21" s="721" t="s">
        <v>180</v>
      </c>
      <c r="K21" s="122"/>
      <c r="L21" s="122"/>
      <c r="M21" s="122"/>
    </row>
    <row r="22" spans="1:13" ht="15.75" thickBot="1">
      <c r="B22" s="589" t="s">
        <v>175</v>
      </c>
      <c r="C22" s="790">
        <v>12168</v>
      </c>
      <c r="D22" s="797">
        <v>0</v>
      </c>
      <c r="E22" s="990">
        <f t="shared" ref="E22:E26" si="4">(D22/C22)*100</f>
        <v>0</v>
      </c>
      <c r="F22" s="790">
        <v>18537</v>
      </c>
      <c r="G22" s="990">
        <f t="shared" ref="G22:G26" si="5">((C22-F22)/F22)*100</f>
        <v>-34.358310406214599</v>
      </c>
      <c r="I22" s="684">
        <f>C22-F22</f>
        <v>-6369</v>
      </c>
      <c r="L22" s="122"/>
      <c r="M22" s="122"/>
    </row>
    <row r="23" spans="1:13" ht="15.75" thickBot="1">
      <c r="B23" s="590" t="s">
        <v>309</v>
      </c>
      <c r="C23" s="794">
        <v>3078</v>
      </c>
      <c r="D23" s="798">
        <v>0</v>
      </c>
      <c r="E23" s="990">
        <f t="shared" si="4"/>
        <v>0</v>
      </c>
      <c r="F23" s="794">
        <v>431.49900000000002</v>
      </c>
      <c r="G23" s="990">
        <f t="shared" si="5"/>
        <v>613.32726147685173</v>
      </c>
    </row>
    <row r="24" spans="1:13" ht="15.75" thickBot="1">
      <c r="B24" s="589" t="s">
        <v>176</v>
      </c>
      <c r="C24" s="790">
        <v>1515.627</v>
      </c>
      <c r="D24" s="799">
        <v>3.2040000000000002</v>
      </c>
      <c r="E24" s="991">
        <f t="shared" si="4"/>
        <v>0.21139765918659409</v>
      </c>
      <c r="F24" s="790">
        <v>1861.7380000000001</v>
      </c>
      <c r="G24" s="991">
        <f t="shared" si="5"/>
        <v>-18.590746925722097</v>
      </c>
    </row>
    <row r="25" spans="1:13" ht="15.75" thickBot="1">
      <c r="B25" s="589" t="s">
        <v>177</v>
      </c>
      <c r="C25" s="790">
        <v>346.45800000000003</v>
      </c>
      <c r="D25" s="799">
        <v>0.16500000000000001</v>
      </c>
      <c r="E25" s="990">
        <f t="shared" si="4"/>
        <v>4.7624820324541496E-2</v>
      </c>
      <c r="F25" s="790">
        <v>547.06799999999998</v>
      </c>
      <c r="G25" s="990">
        <f t="shared" si="5"/>
        <v>-36.670030051108817</v>
      </c>
    </row>
    <row r="26" spans="1:13" ht="15.75" thickBot="1">
      <c r="B26" s="589" t="s">
        <v>178</v>
      </c>
      <c r="C26" s="790">
        <f t="shared" ref="C26:D26" si="6">C24+C25</f>
        <v>1862.085</v>
      </c>
      <c r="D26" s="800">
        <f t="shared" si="6"/>
        <v>3.3690000000000002</v>
      </c>
      <c r="E26" s="992">
        <f t="shared" si="4"/>
        <v>0.18092621980199616</v>
      </c>
      <c r="F26" s="790">
        <f>F24+F25</f>
        <v>2408.806</v>
      </c>
      <c r="G26" s="992">
        <f t="shared" si="5"/>
        <v>-22.69676345874263</v>
      </c>
    </row>
    <row r="27" spans="1:13" ht="16.5" customHeight="1">
      <c r="B27" s="1216"/>
      <c r="C27" s="1216"/>
      <c r="D27" s="1216"/>
      <c r="E27" s="1216"/>
      <c r="F27" s="1216"/>
      <c r="G27" s="1216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93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17"/>
      <c r="E32" s="1217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93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17"/>
      <c r="D43" s="1217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activeCell="I23" sqref="I23"/>
    </sheetView>
  </sheetViews>
  <sheetFormatPr defaultRowHeight="12.75"/>
  <cols>
    <col min="1" max="1" width="5" style="700" customWidth="1"/>
    <col min="2" max="2" width="21.7109375" style="700" customWidth="1"/>
    <col min="3" max="3" width="11.140625" style="700" customWidth="1"/>
    <col min="4" max="4" width="12.140625" style="700" customWidth="1"/>
    <col min="5" max="5" width="12.28515625" style="700" customWidth="1"/>
    <col min="6" max="6" width="3" style="700" customWidth="1"/>
    <col min="7" max="7" width="20.28515625" style="700" customWidth="1"/>
    <col min="8" max="8" width="10.5703125" style="700" customWidth="1"/>
    <col min="9" max="9" width="9.85546875" style="918" bestFit="1" customWidth="1"/>
    <col min="10" max="10" width="11" style="700" customWidth="1"/>
    <col min="11" max="11" width="2.85546875" style="700" customWidth="1"/>
    <col min="12" max="12" width="19.85546875" style="700" customWidth="1"/>
    <col min="13" max="13" width="18.28515625" style="700" customWidth="1"/>
    <col min="14" max="14" width="14.140625" style="700" customWidth="1"/>
    <col min="15" max="15" width="10.140625" style="700" customWidth="1"/>
    <col min="16" max="16" width="4.42578125" style="700" customWidth="1"/>
    <col min="17" max="17" width="21.85546875" style="700" customWidth="1"/>
    <col min="18" max="18" width="12.42578125" style="700" customWidth="1"/>
    <col min="19" max="19" width="9.85546875" style="700" bestFit="1" customWidth="1"/>
    <col min="20" max="20" width="10.42578125" style="700" customWidth="1"/>
    <col min="21" max="253" width="9.140625" style="700"/>
    <col min="254" max="254" width="5" style="700" customWidth="1"/>
    <col min="255" max="255" width="17.7109375" style="700" customWidth="1"/>
    <col min="256" max="256" width="13.85546875" style="700" customWidth="1"/>
    <col min="257" max="257" width="13.140625" style="700" customWidth="1"/>
    <col min="258" max="258" width="12.28515625" style="700" customWidth="1"/>
    <col min="259" max="259" width="3" style="700" customWidth="1"/>
    <col min="260" max="260" width="20.28515625" style="700" customWidth="1"/>
    <col min="261" max="261" width="12.5703125" style="700" customWidth="1"/>
    <col min="262" max="262" width="11.7109375" style="700" customWidth="1"/>
    <col min="263" max="263" width="9.140625" style="700"/>
    <col min="264" max="264" width="2.85546875" style="700" customWidth="1"/>
    <col min="265" max="265" width="18.5703125" style="700" customWidth="1"/>
    <col min="266" max="266" width="14.42578125" style="700" customWidth="1"/>
    <col min="267" max="267" width="13.7109375" style="700" customWidth="1"/>
    <col min="268" max="268" width="10.140625" style="700" customWidth="1"/>
    <col min="269" max="269" width="4.42578125" style="700" customWidth="1"/>
    <col min="270" max="270" width="24" style="700" customWidth="1"/>
    <col min="271" max="271" width="13.140625" style="700" customWidth="1"/>
    <col min="272" max="272" width="13" style="700" customWidth="1"/>
    <col min="273" max="273" width="10.42578125" style="700" customWidth="1"/>
    <col min="274" max="509" width="9.140625" style="700"/>
    <col min="510" max="510" width="5" style="700" customWidth="1"/>
    <col min="511" max="511" width="17.7109375" style="700" customWidth="1"/>
    <col min="512" max="512" width="13.85546875" style="700" customWidth="1"/>
    <col min="513" max="513" width="13.140625" style="700" customWidth="1"/>
    <col min="514" max="514" width="12.28515625" style="700" customWidth="1"/>
    <col min="515" max="515" width="3" style="700" customWidth="1"/>
    <col min="516" max="516" width="20.28515625" style="700" customWidth="1"/>
    <col min="517" max="517" width="12.5703125" style="700" customWidth="1"/>
    <col min="518" max="518" width="11.7109375" style="700" customWidth="1"/>
    <col min="519" max="519" width="9.140625" style="700"/>
    <col min="520" max="520" width="2.85546875" style="700" customWidth="1"/>
    <col min="521" max="521" width="18.5703125" style="700" customWidth="1"/>
    <col min="522" max="522" width="14.42578125" style="700" customWidth="1"/>
    <col min="523" max="523" width="13.7109375" style="700" customWidth="1"/>
    <col min="524" max="524" width="10.140625" style="700" customWidth="1"/>
    <col min="525" max="525" width="4.42578125" style="700" customWidth="1"/>
    <col min="526" max="526" width="24" style="700" customWidth="1"/>
    <col min="527" max="527" width="13.140625" style="700" customWidth="1"/>
    <col min="528" max="528" width="13" style="700" customWidth="1"/>
    <col min="529" max="529" width="10.42578125" style="700" customWidth="1"/>
    <col min="530" max="765" width="9.140625" style="700"/>
    <col min="766" max="766" width="5" style="700" customWidth="1"/>
    <col min="767" max="767" width="17.7109375" style="700" customWidth="1"/>
    <col min="768" max="768" width="13.85546875" style="700" customWidth="1"/>
    <col min="769" max="769" width="13.140625" style="700" customWidth="1"/>
    <col min="770" max="770" width="12.28515625" style="700" customWidth="1"/>
    <col min="771" max="771" width="3" style="700" customWidth="1"/>
    <col min="772" max="772" width="20.28515625" style="700" customWidth="1"/>
    <col min="773" max="773" width="12.5703125" style="700" customWidth="1"/>
    <col min="774" max="774" width="11.7109375" style="700" customWidth="1"/>
    <col min="775" max="775" width="9.140625" style="700"/>
    <col min="776" max="776" width="2.85546875" style="700" customWidth="1"/>
    <col min="777" max="777" width="18.5703125" style="700" customWidth="1"/>
    <col min="778" max="778" width="14.42578125" style="700" customWidth="1"/>
    <col min="779" max="779" width="13.7109375" style="700" customWidth="1"/>
    <col min="780" max="780" width="10.140625" style="700" customWidth="1"/>
    <col min="781" max="781" width="4.42578125" style="700" customWidth="1"/>
    <col min="782" max="782" width="24" style="700" customWidth="1"/>
    <col min="783" max="783" width="13.140625" style="700" customWidth="1"/>
    <col min="784" max="784" width="13" style="700" customWidth="1"/>
    <col min="785" max="785" width="10.42578125" style="700" customWidth="1"/>
    <col min="786" max="1021" width="9.140625" style="700"/>
    <col min="1022" max="1022" width="5" style="700" customWidth="1"/>
    <col min="1023" max="1023" width="17.7109375" style="700" customWidth="1"/>
    <col min="1024" max="1024" width="13.85546875" style="700" customWidth="1"/>
    <col min="1025" max="1025" width="13.140625" style="700" customWidth="1"/>
    <col min="1026" max="1026" width="12.28515625" style="700" customWidth="1"/>
    <col min="1027" max="1027" width="3" style="700" customWidth="1"/>
    <col min="1028" max="1028" width="20.28515625" style="700" customWidth="1"/>
    <col min="1029" max="1029" width="12.5703125" style="700" customWidth="1"/>
    <col min="1030" max="1030" width="11.7109375" style="700" customWidth="1"/>
    <col min="1031" max="1031" width="9.140625" style="700"/>
    <col min="1032" max="1032" width="2.85546875" style="700" customWidth="1"/>
    <col min="1033" max="1033" width="18.5703125" style="700" customWidth="1"/>
    <col min="1034" max="1034" width="14.42578125" style="700" customWidth="1"/>
    <col min="1035" max="1035" width="13.7109375" style="700" customWidth="1"/>
    <col min="1036" max="1036" width="10.140625" style="700" customWidth="1"/>
    <col min="1037" max="1037" width="4.42578125" style="700" customWidth="1"/>
    <col min="1038" max="1038" width="24" style="700" customWidth="1"/>
    <col min="1039" max="1039" width="13.140625" style="700" customWidth="1"/>
    <col min="1040" max="1040" width="13" style="700" customWidth="1"/>
    <col min="1041" max="1041" width="10.42578125" style="700" customWidth="1"/>
    <col min="1042" max="1277" width="9.140625" style="700"/>
    <col min="1278" max="1278" width="5" style="700" customWidth="1"/>
    <col min="1279" max="1279" width="17.7109375" style="700" customWidth="1"/>
    <col min="1280" max="1280" width="13.85546875" style="700" customWidth="1"/>
    <col min="1281" max="1281" width="13.140625" style="700" customWidth="1"/>
    <col min="1282" max="1282" width="12.28515625" style="700" customWidth="1"/>
    <col min="1283" max="1283" width="3" style="700" customWidth="1"/>
    <col min="1284" max="1284" width="20.28515625" style="700" customWidth="1"/>
    <col min="1285" max="1285" width="12.5703125" style="700" customWidth="1"/>
    <col min="1286" max="1286" width="11.7109375" style="700" customWidth="1"/>
    <col min="1287" max="1287" width="9.140625" style="700"/>
    <col min="1288" max="1288" width="2.85546875" style="700" customWidth="1"/>
    <col min="1289" max="1289" width="18.5703125" style="700" customWidth="1"/>
    <col min="1290" max="1290" width="14.42578125" style="700" customWidth="1"/>
    <col min="1291" max="1291" width="13.7109375" style="700" customWidth="1"/>
    <col min="1292" max="1292" width="10.140625" style="700" customWidth="1"/>
    <col min="1293" max="1293" width="4.42578125" style="700" customWidth="1"/>
    <col min="1294" max="1294" width="24" style="700" customWidth="1"/>
    <col min="1295" max="1295" width="13.140625" style="700" customWidth="1"/>
    <col min="1296" max="1296" width="13" style="700" customWidth="1"/>
    <col min="1297" max="1297" width="10.42578125" style="700" customWidth="1"/>
    <col min="1298" max="1533" width="9.140625" style="700"/>
    <col min="1534" max="1534" width="5" style="700" customWidth="1"/>
    <col min="1535" max="1535" width="17.7109375" style="700" customWidth="1"/>
    <col min="1536" max="1536" width="13.85546875" style="700" customWidth="1"/>
    <col min="1537" max="1537" width="13.140625" style="700" customWidth="1"/>
    <col min="1538" max="1538" width="12.28515625" style="700" customWidth="1"/>
    <col min="1539" max="1539" width="3" style="700" customWidth="1"/>
    <col min="1540" max="1540" width="20.28515625" style="700" customWidth="1"/>
    <col min="1541" max="1541" width="12.5703125" style="700" customWidth="1"/>
    <col min="1542" max="1542" width="11.7109375" style="700" customWidth="1"/>
    <col min="1543" max="1543" width="9.140625" style="700"/>
    <col min="1544" max="1544" width="2.85546875" style="700" customWidth="1"/>
    <col min="1545" max="1545" width="18.5703125" style="700" customWidth="1"/>
    <col min="1546" max="1546" width="14.42578125" style="700" customWidth="1"/>
    <col min="1547" max="1547" width="13.7109375" style="700" customWidth="1"/>
    <col min="1548" max="1548" width="10.140625" style="700" customWidth="1"/>
    <col min="1549" max="1549" width="4.42578125" style="700" customWidth="1"/>
    <col min="1550" max="1550" width="24" style="700" customWidth="1"/>
    <col min="1551" max="1551" width="13.140625" style="700" customWidth="1"/>
    <col min="1552" max="1552" width="13" style="700" customWidth="1"/>
    <col min="1553" max="1553" width="10.42578125" style="700" customWidth="1"/>
    <col min="1554" max="1789" width="9.140625" style="700"/>
    <col min="1790" max="1790" width="5" style="700" customWidth="1"/>
    <col min="1791" max="1791" width="17.7109375" style="700" customWidth="1"/>
    <col min="1792" max="1792" width="13.85546875" style="700" customWidth="1"/>
    <col min="1793" max="1793" width="13.140625" style="700" customWidth="1"/>
    <col min="1794" max="1794" width="12.28515625" style="700" customWidth="1"/>
    <col min="1795" max="1795" width="3" style="700" customWidth="1"/>
    <col min="1796" max="1796" width="20.28515625" style="700" customWidth="1"/>
    <col min="1797" max="1797" width="12.5703125" style="700" customWidth="1"/>
    <col min="1798" max="1798" width="11.7109375" style="700" customWidth="1"/>
    <col min="1799" max="1799" width="9.140625" style="700"/>
    <col min="1800" max="1800" width="2.85546875" style="700" customWidth="1"/>
    <col min="1801" max="1801" width="18.5703125" style="700" customWidth="1"/>
    <col min="1802" max="1802" width="14.42578125" style="700" customWidth="1"/>
    <col min="1803" max="1803" width="13.7109375" style="700" customWidth="1"/>
    <col min="1804" max="1804" width="10.140625" style="700" customWidth="1"/>
    <col min="1805" max="1805" width="4.42578125" style="700" customWidth="1"/>
    <col min="1806" max="1806" width="24" style="700" customWidth="1"/>
    <col min="1807" max="1807" width="13.140625" style="700" customWidth="1"/>
    <col min="1808" max="1808" width="13" style="700" customWidth="1"/>
    <col min="1809" max="1809" width="10.42578125" style="700" customWidth="1"/>
    <col min="1810" max="2045" width="9.140625" style="700"/>
    <col min="2046" max="2046" width="5" style="700" customWidth="1"/>
    <col min="2047" max="2047" width="17.7109375" style="700" customWidth="1"/>
    <col min="2048" max="2048" width="13.85546875" style="700" customWidth="1"/>
    <col min="2049" max="2049" width="13.140625" style="700" customWidth="1"/>
    <col min="2050" max="2050" width="12.28515625" style="700" customWidth="1"/>
    <col min="2051" max="2051" width="3" style="700" customWidth="1"/>
    <col min="2052" max="2052" width="20.28515625" style="700" customWidth="1"/>
    <col min="2053" max="2053" width="12.5703125" style="700" customWidth="1"/>
    <col min="2054" max="2054" width="11.7109375" style="700" customWidth="1"/>
    <col min="2055" max="2055" width="9.140625" style="700"/>
    <col min="2056" max="2056" width="2.85546875" style="700" customWidth="1"/>
    <col min="2057" max="2057" width="18.5703125" style="700" customWidth="1"/>
    <col min="2058" max="2058" width="14.42578125" style="700" customWidth="1"/>
    <col min="2059" max="2059" width="13.7109375" style="700" customWidth="1"/>
    <col min="2060" max="2060" width="10.140625" style="700" customWidth="1"/>
    <col min="2061" max="2061" width="4.42578125" style="700" customWidth="1"/>
    <col min="2062" max="2062" width="24" style="700" customWidth="1"/>
    <col min="2063" max="2063" width="13.140625" style="700" customWidth="1"/>
    <col min="2064" max="2064" width="13" style="700" customWidth="1"/>
    <col min="2065" max="2065" width="10.42578125" style="700" customWidth="1"/>
    <col min="2066" max="2301" width="9.140625" style="700"/>
    <col min="2302" max="2302" width="5" style="700" customWidth="1"/>
    <col min="2303" max="2303" width="17.7109375" style="700" customWidth="1"/>
    <col min="2304" max="2304" width="13.85546875" style="700" customWidth="1"/>
    <col min="2305" max="2305" width="13.140625" style="700" customWidth="1"/>
    <col min="2306" max="2306" width="12.28515625" style="700" customWidth="1"/>
    <col min="2307" max="2307" width="3" style="700" customWidth="1"/>
    <col min="2308" max="2308" width="20.28515625" style="700" customWidth="1"/>
    <col min="2309" max="2309" width="12.5703125" style="700" customWidth="1"/>
    <col min="2310" max="2310" width="11.7109375" style="700" customWidth="1"/>
    <col min="2311" max="2311" width="9.140625" style="700"/>
    <col min="2312" max="2312" width="2.85546875" style="700" customWidth="1"/>
    <col min="2313" max="2313" width="18.5703125" style="700" customWidth="1"/>
    <col min="2314" max="2314" width="14.42578125" style="700" customWidth="1"/>
    <col min="2315" max="2315" width="13.7109375" style="700" customWidth="1"/>
    <col min="2316" max="2316" width="10.140625" style="700" customWidth="1"/>
    <col min="2317" max="2317" width="4.42578125" style="700" customWidth="1"/>
    <col min="2318" max="2318" width="24" style="700" customWidth="1"/>
    <col min="2319" max="2319" width="13.140625" style="700" customWidth="1"/>
    <col min="2320" max="2320" width="13" style="700" customWidth="1"/>
    <col min="2321" max="2321" width="10.42578125" style="700" customWidth="1"/>
    <col min="2322" max="2557" width="9.140625" style="700"/>
    <col min="2558" max="2558" width="5" style="700" customWidth="1"/>
    <col min="2559" max="2559" width="17.7109375" style="700" customWidth="1"/>
    <col min="2560" max="2560" width="13.85546875" style="700" customWidth="1"/>
    <col min="2561" max="2561" width="13.140625" style="700" customWidth="1"/>
    <col min="2562" max="2562" width="12.28515625" style="700" customWidth="1"/>
    <col min="2563" max="2563" width="3" style="700" customWidth="1"/>
    <col min="2564" max="2564" width="20.28515625" style="700" customWidth="1"/>
    <col min="2565" max="2565" width="12.5703125" style="700" customWidth="1"/>
    <col min="2566" max="2566" width="11.7109375" style="700" customWidth="1"/>
    <col min="2567" max="2567" width="9.140625" style="700"/>
    <col min="2568" max="2568" width="2.85546875" style="700" customWidth="1"/>
    <col min="2569" max="2569" width="18.5703125" style="700" customWidth="1"/>
    <col min="2570" max="2570" width="14.42578125" style="700" customWidth="1"/>
    <col min="2571" max="2571" width="13.7109375" style="700" customWidth="1"/>
    <col min="2572" max="2572" width="10.140625" style="700" customWidth="1"/>
    <col min="2573" max="2573" width="4.42578125" style="700" customWidth="1"/>
    <col min="2574" max="2574" width="24" style="700" customWidth="1"/>
    <col min="2575" max="2575" width="13.140625" style="700" customWidth="1"/>
    <col min="2576" max="2576" width="13" style="700" customWidth="1"/>
    <col min="2577" max="2577" width="10.42578125" style="700" customWidth="1"/>
    <col min="2578" max="2813" width="9.140625" style="700"/>
    <col min="2814" max="2814" width="5" style="700" customWidth="1"/>
    <col min="2815" max="2815" width="17.7109375" style="700" customWidth="1"/>
    <col min="2816" max="2816" width="13.85546875" style="700" customWidth="1"/>
    <col min="2817" max="2817" width="13.140625" style="700" customWidth="1"/>
    <col min="2818" max="2818" width="12.28515625" style="700" customWidth="1"/>
    <col min="2819" max="2819" width="3" style="700" customWidth="1"/>
    <col min="2820" max="2820" width="20.28515625" style="700" customWidth="1"/>
    <col min="2821" max="2821" width="12.5703125" style="700" customWidth="1"/>
    <col min="2822" max="2822" width="11.7109375" style="700" customWidth="1"/>
    <col min="2823" max="2823" width="9.140625" style="700"/>
    <col min="2824" max="2824" width="2.85546875" style="700" customWidth="1"/>
    <col min="2825" max="2825" width="18.5703125" style="700" customWidth="1"/>
    <col min="2826" max="2826" width="14.42578125" style="700" customWidth="1"/>
    <col min="2827" max="2827" width="13.7109375" style="700" customWidth="1"/>
    <col min="2828" max="2828" width="10.140625" style="700" customWidth="1"/>
    <col min="2829" max="2829" width="4.42578125" style="700" customWidth="1"/>
    <col min="2830" max="2830" width="24" style="700" customWidth="1"/>
    <col min="2831" max="2831" width="13.140625" style="700" customWidth="1"/>
    <col min="2832" max="2832" width="13" style="700" customWidth="1"/>
    <col min="2833" max="2833" width="10.42578125" style="700" customWidth="1"/>
    <col min="2834" max="3069" width="9.140625" style="700"/>
    <col min="3070" max="3070" width="5" style="700" customWidth="1"/>
    <col min="3071" max="3071" width="17.7109375" style="700" customWidth="1"/>
    <col min="3072" max="3072" width="13.85546875" style="700" customWidth="1"/>
    <col min="3073" max="3073" width="13.140625" style="700" customWidth="1"/>
    <col min="3074" max="3074" width="12.28515625" style="700" customWidth="1"/>
    <col min="3075" max="3075" width="3" style="700" customWidth="1"/>
    <col min="3076" max="3076" width="20.28515625" style="700" customWidth="1"/>
    <col min="3077" max="3077" width="12.5703125" style="700" customWidth="1"/>
    <col min="3078" max="3078" width="11.7109375" style="700" customWidth="1"/>
    <col min="3079" max="3079" width="9.140625" style="700"/>
    <col min="3080" max="3080" width="2.85546875" style="700" customWidth="1"/>
    <col min="3081" max="3081" width="18.5703125" style="700" customWidth="1"/>
    <col min="3082" max="3082" width="14.42578125" style="700" customWidth="1"/>
    <col min="3083" max="3083" width="13.7109375" style="700" customWidth="1"/>
    <col min="3084" max="3084" width="10.140625" style="700" customWidth="1"/>
    <col min="3085" max="3085" width="4.42578125" style="700" customWidth="1"/>
    <col min="3086" max="3086" width="24" style="700" customWidth="1"/>
    <col min="3087" max="3087" width="13.140625" style="700" customWidth="1"/>
    <col min="3088" max="3088" width="13" style="700" customWidth="1"/>
    <col min="3089" max="3089" width="10.42578125" style="700" customWidth="1"/>
    <col min="3090" max="3325" width="9.140625" style="700"/>
    <col min="3326" max="3326" width="5" style="700" customWidth="1"/>
    <col min="3327" max="3327" width="17.7109375" style="700" customWidth="1"/>
    <col min="3328" max="3328" width="13.85546875" style="700" customWidth="1"/>
    <col min="3329" max="3329" width="13.140625" style="700" customWidth="1"/>
    <col min="3330" max="3330" width="12.28515625" style="700" customWidth="1"/>
    <col min="3331" max="3331" width="3" style="700" customWidth="1"/>
    <col min="3332" max="3332" width="20.28515625" style="700" customWidth="1"/>
    <col min="3333" max="3333" width="12.5703125" style="700" customWidth="1"/>
    <col min="3334" max="3334" width="11.7109375" style="700" customWidth="1"/>
    <col min="3335" max="3335" width="9.140625" style="700"/>
    <col min="3336" max="3336" width="2.85546875" style="700" customWidth="1"/>
    <col min="3337" max="3337" width="18.5703125" style="700" customWidth="1"/>
    <col min="3338" max="3338" width="14.42578125" style="700" customWidth="1"/>
    <col min="3339" max="3339" width="13.7109375" style="700" customWidth="1"/>
    <col min="3340" max="3340" width="10.140625" style="700" customWidth="1"/>
    <col min="3341" max="3341" width="4.42578125" style="700" customWidth="1"/>
    <col min="3342" max="3342" width="24" style="700" customWidth="1"/>
    <col min="3343" max="3343" width="13.140625" style="700" customWidth="1"/>
    <col min="3344" max="3344" width="13" style="700" customWidth="1"/>
    <col min="3345" max="3345" width="10.42578125" style="700" customWidth="1"/>
    <col min="3346" max="3581" width="9.140625" style="700"/>
    <col min="3582" max="3582" width="5" style="700" customWidth="1"/>
    <col min="3583" max="3583" width="17.7109375" style="700" customWidth="1"/>
    <col min="3584" max="3584" width="13.85546875" style="700" customWidth="1"/>
    <col min="3585" max="3585" width="13.140625" style="700" customWidth="1"/>
    <col min="3586" max="3586" width="12.28515625" style="700" customWidth="1"/>
    <col min="3587" max="3587" width="3" style="700" customWidth="1"/>
    <col min="3588" max="3588" width="20.28515625" style="700" customWidth="1"/>
    <col min="3589" max="3589" width="12.5703125" style="700" customWidth="1"/>
    <col min="3590" max="3590" width="11.7109375" style="700" customWidth="1"/>
    <col min="3591" max="3591" width="9.140625" style="700"/>
    <col min="3592" max="3592" width="2.85546875" style="700" customWidth="1"/>
    <col min="3593" max="3593" width="18.5703125" style="700" customWidth="1"/>
    <col min="3594" max="3594" width="14.42578125" style="700" customWidth="1"/>
    <col min="3595" max="3595" width="13.7109375" style="700" customWidth="1"/>
    <col min="3596" max="3596" width="10.140625" style="700" customWidth="1"/>
    <col min="3597" max="3597" width="4.42578125" style="700" customWidth="1"/>
    <col min="3598" max="3598" width="24" style="700" customWidth="1"/>
    <col min="3599" max="3599" width="13.140625" style="700" customWidth="1"/>
    <col min="3600" max="3600" width="13" style="700" customWidth="1"/>
    <col min="3601" max="3601" width="10.42578125" style="700" customWidth="1"/>
    <col min="3602" max="3837" width="9.140625" style="700"/>
    <col min="3838" max="3838" width="5" style="700" customWidth="1"/>
    <col min="3839" max="3839" width="17.7109375" style="700" customWidth="1"/>
    <col min="3840" max="3840" width="13.85546875" style="700" customWidth="1"/>
    <col min="3841" max="3841" width="13.140625" style="700" customWidth="1"/>
    <col min="3842" max="3842" width="12.28515625" style="700" customWidth="1"/>
    <col min="3843" max="3843" width="3" style="700" customWidth="1"/>
    <col min="3844" max="3844" width="20.28515625" style="700" customWidth="1"/>
    <col min="3845" max="3845" width="12.5703125" style="700" customWidth="1"/>
    <col min="3846" max="3846" width="11.7109375" style="700" customWidth="1"/>
    <col min="3847" max="3847" width="9.140625" style="700"/>
    <col min="3848" max="3848" width="2.85546875" style="700" customWidth="1"/>
    <col min="3849" max="3849" width="18.5703125" style="700" customWidth="1"/>
    <col min="3850" max="3850" width="14.42578125" style="700" customWidth="1"/>
    <col min="3851" max="3851" width="13.7109375" style="700" customWidth="1"/>
    <col min="3852" max="3852" width="10.140625" style="700" customWidth="1"/>
    <col min="3853" max="3853" width="4.42578125" style="700" customWidth="1"/>
    <col min="3854" max="3854" width="24" style="700" customWidth="1"/>
    <col min="3855" max="3855" width="13.140625" style="700" customWidth="1"/>
    <col min="3856" max="3856" width="13" style="700" customWidth="1"/>
    <col min="3857" max="3857" width="10.42578125" style="700" customWidth="1"/>
    <col min="3858" max="4093" width="9.140625" style="700"/>
    <col min="4094" max="4094" width="5" style="700" customWidth="1"/>
    <col min="4095" max="4095" width="17.7109375" style="700" customWidth="1"/>
    <col min="4096" max="4096" width="13.85546875" style="700" customWidth="1"/>
    <col min="4097" max="4097" width="13.140625" style="700" customWidth="1"/>
    <col min="4098" max="4098" width="12.28515625" style="700" customWidth="1"/>
    <col min="4099" max="4099" width="3" style="700" customWidth="1"/>
    <col min="4100" max="4100" width="20.28515625" style="700" customWidth="1"/>
    <col min="4101" max="4101" width="12.5703125" style="700" customWidth="1"/>
    <col min="4102" max="4102" width="11.7109375" style="700" customWidth="1"/>
    <col min="4103" max="4103" width="9.140625" style="700"/>
    <col min="4104" max="4104" width="2.85546875" style="700" customWidth="1"/>
    <col min="4105" max="4105" width="18.5703125" style="700" customWidth="1"/>
    <col min="4106" max="4106" width="14.42578125" style="700" customWidth="1"/>
    <col min="4107" max="4107" width="13.7109375" style="700" customWidth="1"/>
    <col min="4108" max="4108" width="10.140625" style="700" customWidth="1"/>
    <col min="4109" max="4109" width="4.42578125" style="700" customWidth="1"/>
    <col min="4110" max="4110" width="24" style="700" customWidth="1"/>
    <col min="4111" max="4111" width="13.140625" style="700" customWidth="1"/>
    <col min="4112" max="4112" width="13" style="700" customWidth="1"/>
    <col min="4113" max="4113" width="10.42578125" style="700" customWidth="1"/>
    <col min="4114" max="4349" width="9.140625" style="700"/>
    <col min="4350" max="4350" width="5" style="700" customWidth="1"/>
    <col min="4351" max="4351" width="17.7109375" style="700" customWidth="1"/>
    <col min="4352" max="4352" width="13.85546875" style="700" customWidth="1"/>
    <col min="4353" max="4353" width="13.140625" style="700" customWidth="1"/>
    <col min="4354" max="4354" width="12.28515625" style="700" customWidth="1"/>
    <col min="4355" max="4355" width="3" style="700" customWidth="1"/>
    <col min="4356" max="4356" width="20.28515625" style="700" customWidth="1"/>
    <col min="4357" max="4357" width="12.5703125" style="700" customWidth="1"/>
    <col min="4358" max="4358" width="11.7109375" style="700" customWidth="1"/>
    <col min="4359" max="4359" width="9.140625" style="700"/>
    <col min="4360" max="4360" width="2.85546875" style="700" customWidth="1"/>
    <col min="4361" max="4361" width="18.5703125" style="700" customWidth="1"/>
    <col min="4362" max="4362" width="14.42578125" style="700" customWidth="1"/>
    <col min="4363" max="4363" width="13.7109375" style="700" customWidth="1"/>
    <col min="4364" max="4364" width="10.140625" style="700" customWidth="1"/>
    <col min="4365" max="4365" width="4.42578125" style="700" customWidth="1"/>
    <col min="4366" max="4366" width="24" style="700" customWidth="1"/>
    <col min="4367" max="4367" width="13.140625" style="700" customWidth="1"/>
    <col min="4368" max="4368" width="13" style="700" customWidth="1"/>
    <col min="4369" max="4369" width="10.42578125" style="700" customWidth="1"/>
    <col min="4370" max="4605" width="9.140625" style="700"/>
    <col min="4606" max="4606" width="5" style="700" customWidth="1"/>
    <col min="4607" max="4607" width="17.7109375" style="700" customWidth="1"/>
    <col min="4608" max="4608" width="13.85546875" style="700" customWidth="1"/>
    <col min="4609" max="4609" width="13.140625" style="700" customWidth="1"/>
    <col min="4610" max="4610" width="12.28515625" style="700" customWidth="1"/>
    <col min="4611" max="4611" width="3" style="700" customWidth="1"/>
    <col min="4612" max="4612" width="20.28515625" style="700" customWidth="1"/>
    <col min="4613" max="4613" width="12.5703125" style="700" customWidth="1"/>
    <col min="4614" max="4614" width="11.7109375" style="700" customWidth="1"/>
    <col min="4615" max="4615" width="9.140625" style="700"/>
    <col min="4616" max="4616" width="2.85546875" style="700" customWidth="1"/>
    <col min="4617" max="4617" width="18.5703125" style="700" customWidth="1"/>
    <col min="4618" max="4618" width="14.42578125" style="700" customWidth="1"/>
    <col min="4619" max="4619" width="13.7109375" style="700" customWidth="1"/>
    <col min="4620" max="4620" width="10.140625" style="700" customWidth="1"/>
    <col min="4621" max="4621" width="4.42578125" style="700" customWidth="1"/>
    <col min="4622" max="4622" width="24" style="700" customWidth="1"/>
    <col min="4623" max="4623" width="13.140625" style="700" customWidth="1"/>
    <col min="4624" max="4624" width="13" style="700" customWidth="1"/>
    <col min="4625" max="4625" width="10.42578125" style="700" customWidth="1"/>
    <col min="4626" max="4861" width="9.140625" style="700"/>
    <col min="4862" max="4862" width="5" style="700" customWidth="1"/>
    <col min="4863" max="4863" width="17.7109375" style="700" customWidth="1"/>
    <col min="4864" max="4864" width="13.85546875" style="700" customWidth="1"/>
    <col min="4865" max="4865" width="13.140625" style="700" customWidth="1"/>
    <col min="4866" max="4866" width="12.28515625" style="700" customWidth="1"/>
    <col min="4867" max="4867" width="3" style="700" customWidth="1"/>
    <col min="4868" max="4868" width="20.28515625" style="700" customWidth="1"/>
    <col min="4869" max="4869" width="12.5703125" style="700" customWidth="1"/>
    <col min="4870" max="4870" width="11.7109375" style="700" customWidth="1"/>
    <col min="4871" max="4871" width="9.140625" style="700"/>
    <col min="4872" max="4872" width="2.85546875" style="700" customWidth="1"/>
    <col min="4873" max="4873" width="18.5703125" style="700" customWidth="1"/>
    <col min="4874" max="4874" width="14.42578125" style="700" customWidth="1"/>
    <col min="4875" max="4875" width="13.7109375" style="700" customWidth="1"/>
    <col min="4876" max="4876" width="10.140625" style="700" customWidth="1"/>
    <col min="4877" max="4877" width="4.42578125" style="700" customWidth="1"/>
    <col min="4878" max="4878" width="24" style="700" customWidth="1"/>
    <col min="4879" max="4879" width="13.140625" style="700" customWidth="1"/>
    <col min="4880" max="4880" width="13" style="700" customWidth="1"/>
    <col min="4881" max="4881" width="10.42578125" style="700" customWidth="1"/>
    <col min="4882" max="5117" width="9.140625" style="700"/>
    <col min="5118" max="5118" width="5" style="700" customWidth="1"/>
    <col min="5119" max="5119" width="17.7109375" style="700" customWidth="1"/>
    <col min="5120" max="5120" width="13.85546875" style="700" customWidth="1"/>
    <col min="5121" max="5121" width="13.140625" style="700" customWidth="1"/>
    <col min="5122" max="5122" width="12.28515625" style="700" customWidth="1"/>
    <col min="5123" max="5123" width="3" style="700" customWidth="1"/>
    <col min="5124" max="5124" width="20.28515625" style="700" customWidth="1"/>
    <col min="5125" max="5125" width="12.5703125" style="700" customWidth="1"/>
    <col min="5126" max="5126" width="11.7109375" style="700" customWidth="1"/>
    <col min="5127" max="5127" width="9.140625" style="700"/>
    <col min="5128" max="5128" width="2.85546875" style="700" customWidth="1"/>
    <col min="5129" max="5129" width="18.5703125" style="700" customWidth="1"/>
    <col min="5130" max="5130" width="14.42578125" style="700" customWidth="1"/>
    <col min="5131" max="5131" width="13.7109375" style="700" customWidth="1"/>
    <col min="5132" max="5132" width="10.140625" style="700" customWidth="1"/>
    <col min="5133" max="5133" width="4.42578125" style="700" customWidth="1"/>
    <col min="5134" max="5134" width="24" style="700" customWidth="1"/>
    <col min="5135" max="5135" width="13.140625" style="700" customWidth="1"/>
    <col min="5136" max="5136" width="13" style="700" customWidth="1"/>
    <col min="5137" max="5137" width="10.42578125" style="700" customWidth="1"/>
    <col min="5138" max="5373" width="9.140625" style="700"/>
    <col min="5374" max="5374" width="5" style="700" customWidth="1"/>
    <col min="5375" max="5375" width="17.7109375" style="700" customWidth="1"/>
    <col min="5376" max="5376" width="13.85546875" style="700" customWidth="1"/>
    <col min="5377" max="5377" width="13.140625" style="700" customWidth="1"/>
    <col min="5378" max="5378" width="12.28515625" style="700" customWidth="1"/>
    <col min="5379" max="5379" width="3" style="700" customWidth="1"/>
    <col min="5380" max="5380" width="20.28515625" style="700" customWidth="1"/>
    <col min="5381" max="5381" width="12.5703125" style="700" customWidth="1"/>
    <col min="5382" max="5382" width="11.7109375" style="700" customWidth="1"/>
    <col min="5383" max="5383" width="9.140625" style="700"/>
    <col min="5384" max="5384" width="2.85546875" style="700" customWidth="1"/>
    <col min="5385" max="5385" width="18.5703125" style="700" customWidth="1"/>
    <col min="5386" max="5386" width="14.42578125" style="700" customWidth="1"/>
    <col min="5387" max="5387" width="13.7109375" style="700" customWidth="1"/>
    <col min="5388" max="5388" width="10.140625" style="700" customWidth="1"/>
    <col min="5389" max="5389" width="4.42578125" style="700" customWidth="1"/>
    <col min="5390" max="5390" width="24" style="700" customWidth="1"/>
    <col min="5391" max="5391" width="13.140625" style="700" customWidth="1"/>
    <col min="5392" max="5392" width="13" style="700" customWidth="1"/>
    <col min="5393" max="5393" width="10.42578125" style="700" customWidth="1"/>
    <col min="5394" max="5629" width="9.140625" style="700"/>
    <col min="5630" max="5630" width="5" style="700" customWidth="1"/>
    <col min="5631" max="5631" width="17.7109375" style="700" customWidth="1"/>
    <col min="5632" max="5632" width="13.85546875" style="700" customWidth="1"/>
    <col min="5633" max="5633" width="13.140625" style="700" customWidth="1"/>
    <col min="5634" max="5634" width="12.28515625" style="700" customWidth="1"/>
    <col min="5635" max="5635" width="3" style="700" customWidth="1"/>
    <col min="5636" max="5636" width="20.28515625" style="700" customWidth="1"/>
    <col min="5637" max="5637" width="12.5703125" style="700" customWidth="1"/>
    <col min="5638" max="5638" width="11.7109375" style="700" customWidth="1"/>
    <col min="5639" max="5639" width="9.140625" style="700"/>
    <col min="5640" max="5640" width="2.85546875" style="700" customWidth="1"/>
    <col min="5641" max="5641" width="18.5703125" style="700" customWidth="1"/>
    <col min="5642" max="5642" width="14.42578125" style="700" customWidth="1"/>
    <col min="5643" max="5643" width="13.7109375" style="700" customWidth="1"/>
    <col min="5644" max="5644" width="10.140625" style="700" customWidth="1"/>
    <col min="5645" max="5645" width="4.42578125" style="700" customWidth="1"/>
    <col min="5646" max="5646" width="24" style="700" customWidth="1"/>
    <col min="5647" max="5647" width="13.140625" style="700" customWidth="1"/>
    <col min="5648" max="5648" width="13" style="700" customWidth="1"/>
    <col min="5649" max="5649" width="10.42578125" style="700" customWidth="1"/>
    <col min="5650" max="5885" width="9.140625" style="700"/>
    <col min="5886" max="5886" width="5" style="700" customWidth="1"/>
    <col min="5887" max="5887" width="17.7109375" style="700" customWidth="1"/>
    <col min="5888" max="5888" width="13.85546875" style="700" customWidth="1"/>
    <col min="5889" max="5889" width="13.140625" style="700" customWidth="1"/>
    <col min="5890" max="5890" width="12.28515625" style="700" customWidth="1"/>
    <col min="5891" max="5891" width="3" style="700" customWidth="1"/>
    <col min="5892" max="5892" width="20.28515625" style="700" customWidth="1"/>
    <col min="5893" max="5893" width="12.5703125" style="700" customWidth="1"/>
    <col min="5894" max="5894" width="11.7109375" style="700" customWidth="1"/>
    <col min="5895" max="5895" width="9.140625" style="700"/>
    <col min="5896" max="5896" width="2.85546875" style="700" customWidth="1"/>
    <col min="5897" max="5897" width="18.5703125" style="700" customWidth="1"/>
    <col min="5898" max="5898" width="14.42578125" style="700" customWidth="1"/>
    <col min="5899" max="5899" width="13.7109375" style="700" customWidth="1"/>
    <col min="5900" max="5900" width="10.140625" style="700" customWidth="1"/>
    <col min="5901" max="5901" width="4.42578125" style="700" customWidth="1"/>
    <col min="5902" max="5902" width="24" style="700" customWidth="1"/>
    <col min="5903" max="5903" width="13.140625" style="700" customWidth="1"/>
    <col min="5904" max="5904" width="13" style="700" customWidth="1"/>
    <col min="5905" max="5905" width="10.42578125" style="700" customWidth="1"/>
    <col min="5906" max="6141" width="9.140625" style="700"/>
    <col min="6142" max="6142" width="5" style="700" customWidth="1"/>
    <col min="6143" max="6143" width="17.7109375" style="700" customWidth="1"/>
    <col min="6144" max="6144" width="13.85546875" style="700" customWidth="1"/>
    <col min="6145" max="6145" width="13.140625" style="700" customWidth="1"/>
    <col min="6146" max="6146" width="12.28515625" style="700" customWidth="1"/>
    <col min="6147" max="6147" width="3" style="700" customWidth="1"/>
    <col min="6148" max="6148" width="20.28515625" style="700" customWidth="1"/>
    <col min="6149" max="6149" width="12.5703125" style="700" customWidth="1"/>
    <col min="6150" max="6150" width="11.7109375" style="700" customWidth="1"/>
    <col min="6151" max="6151" width="9.140625" style="700"/>
    <col min="6152" max="6152" width="2.85546875" style="700" customWidth="1"/>
    <col min="6153" max="6153" width="18.5703125" style="700" customWidth="1"/>
    <col min="6154" max="6154" width="14.42578125" style="700" customWidth="1"/>
    <col min="6155" max="6155" width="13.7109375" style="700" customWidth="1"/>
    <col min="6156" max="6156" width="10.140625" style="700" customWidth="1"/>
    <col min="6157" max="6157" width="4.42578125" style="700" customWidth="1"/>
    <col min="6158" max="6158" width="24" style="700" customWidth="1"/>
    <col min="6159" max="6159" width="13.140625" style="700" customWidth="1"/>
    <col min="6160" max="6160" width="13" style="700" customWidth="1"/>
    <col min="6161" max="6161" width="10.42578125" style="700" customWidth="1"/>
    <col min="6162" max="6397" width="9.140625" style="700"/>
    <col min="6398" max="6398" width="5" style="700" customWidth="1"/>
    <col min="6399" max="6399" width="17.7109375" style="700" customWidth="1"/>
    <col min="6400" max="6400" width="13.85546875" style="700" customWidth="1"/>
    <col min="6401" max="6401" width="13.140625" style="700" customWidth="1"/>
    <col min="6402" max="6402" width="12.28515625" style="700" customWidth="1"/>
    <col min="6403" max="6403" width="3" style="700" customWidth="1"/>
    <col min="6404" max="6404" width="20.28515625" style="700" customWidth="1"/>
    <col min="6405" max="6405" width="12.5703125" style="700" customWidth="1"/>
    <col min="6406" max="6406" width="11.7109375" style="700" customWidth="1"/>
    <col min="6407" max="6407" width="9.140625" style="700"/>
    <col min="6408" max="6408" width="2.85546875" style="700" customWidth="1"/>
    <col min="6409" max="6409" width="18.5703125" style="700" customWidth="1"/>
    <col min="6410" max="6410" width="14.42578125" style="700" customWidth="1"/>
    <col min="6411" max="6411" width="13.7109375" style="700" customWidth="1"/>
    <col min="6412" max="6412" width="10.140625" style="700" customWidth="1"/>
    <col min="6413" max="6413" width="4.42578125" style="700" customWidth="1"/>
    <col min="6414" max="6414" width="24" style="700" customWidth="1"/>
    <col min="6415" max="6415" width="13.140625" style="700" customWidth="1"/>
    <col min="6416" max="6416" width="13" style="700" customWidth="1"/>
    <col min="6417" max="6417" width="10.42578125" style="700" customWidth="1"/>
    <col min="6418" max="6653" width="9.140625" style="700"/>
    <col min="6654" max="6654" width="5" style="700" customWidth="1"/>
    <col min="6655" max="6655" width="17.7109375" style="700" customWidth="1"/>
    <col min="6656" max="6656" width="13.85546875" style="700" customWidth="1"/>
    <col min="6657" max="6657" width="13.140625" style="700" customWidth="1"/>
    <col min="6658" max="6658" width="12.28515625" style="700" customWidth="1"/>
    <col min="6659" max="6659" width="3" style="700" customWidth="1"/>
    <col min="6660" max="6660" width="20.28515625" style="700" customWidth="1"/>
    <col min="6661" max="6661" width="12.5703125" style="700" customWidth="1"/>
    <col min="6662" max="6662" width="11.7109375" style="700" customWidth="1"/>
    <col min="6663" max="6663" width="9.140625" style="700"/>
    <col min="6664" max="6664" width="2.85546875" style="700" customWidth="1"/>
    <col min="6665" max="6665" width="18.5703125" style="700" customWidth="1"/>
    <col min="6666" max="6666" width="14.42578125" style="700" customWidth="1"/>
    <col min="6667" max="6667" width="13.7109375" style="700" customWidth="1"/>
    <col min="6668" max="6668" width="10.140625" style="700" customWidth="1"/>
    <col min="6669" max="6669" width="4.42578125" style="700" customWidth="1"/>
    <col min="6670" max="6670" width="24" style="700" customWidth="1"/>
    <col min="6671" max="6671" width="13.140625" style="700" customWidth="1"/>
    <col min="6672" max="6672" width="13" style="700" customWidth="1"/>
    <col min="6673" max="6673" width="10.42578125" style="700" customWidth="1"/>
    <col min="6674" max="6909" width="9.140625" style="700"/>
    <col min="6910" max="6910" width="5" style="700" customWidth="1"/>
    <col min="6911" max="6911" width="17.7109375" style="700" customWidth="1"/>
    <col min="6912" max="6912" width="13.85546875" style="700" customWidth="1"/>
    <col min="6913" max="6913" width="13.140625" style="700" customWidth="1"/>
    <col min="6914" max="6914" width="12.28515625" style="700" customWidth="1"/>
    <col min="6915" max="6915" width="3" style="700" customWidth="1"/>
    <col min="6916" max="6916" width="20.28515625" style="700" customWidth="1"/>
    <col min="6917" max="6917" width="12.5703125" style="700" customWidth="1"/>
    <col min="6918" max="6918" width="11.7109375" style="700" customWidth="1"/>
    <col min="6919" max="6919" width="9.140625" style="700"/>
    <col min="6920" max="6920" width="2.85546875" style="700" customWidth="1"/>
    <col min="6921" max="6921" width="18.5703125" style="700" customWidth="1"/>
    <col min="6922" max="6922" width="14.42578125" style="700" customWidth="1"/>
    <col min="6923" max="6923" width="13.7109375" style="700" customWidth="1"/>
    <col min="6924" max="6924" width="10.140625" style="700" customWidth="1"/>
    <col min="6925" max="6925" width="4.42578125" style="700" customWidth="1"/>
    <col min="6926" max="6926" width="24" style="700" customWidth="1"/>
    <col min="6927" max="6927" width="13.140625" style="700" customWidth="1"/>
    <col min="6928" max="6928" width="13" style="700" customWidth="1"/>
    <col min="6929" max="6929" width="10.42578125" style="700" customWidth="1"/>
    <col min="6930" max="7165" width="9.140625" style="700"/>
    <col min="7166" max="7166" width="5" style="700" customWidth="1"/>
    <col min="7167" max="7167" width="17.7109375" style="700" customWidth="1"/>
    <col min="7168" max="7168" width="13.85546875" style="700" customWidth="1"/>
    <col min="7169" max="7169" width="13.140625" style="700" customWidth="1"/>
    <col min="7170" max="7170" width="12.28515625" style="700" customWidth="1"/>
    <col min="7171" max="7171" width="3" style="700" customWidth="1"/>
    <col min="7172" max="7172" width="20.28515625" style="700" customWidth="1"/>
    <col min="7173" max="7173" width="12.5703125" style="700" customWidth="1"/>
    <col min="7174" max="7174" width="11.7109375" style="700" customWidth="1"/>
    <col min="7175" max="7175" width="9.140625" style="700"/>
    <col min="7176" max="7176" width="2.85546875" style="700" customWidth="1"/>
    <col min="7177" max="7177" width="18.5703125" style="700" customWidth="1"/>
    <col min="7178" max="7178" width="14.42578125" style="700" customWidth="1"/>
    <col min="7179" max="7179" width="13.7109375" style="700" customWidth="1"/>
    <col min="7180" max="7180" width="10.140625" style="700" customWidth="1"/>
    <col min="7181" max="7181" width="4.42578125" style="700" customWidth="1"/>
    <col min="7182" max="7182" width="24" style="700" customWidth="1"/>
    <col min="7183" max="7183" width="13.140625" style="700" customWidth="1"/>
    <col min="7184" max="7184" width="13" style="700" customWidth="1"/>
    <col min="7185" max="7185" width="10.42578125" style="700" customWidth="1"/>
    <col min="7186" max="7421" width="9.140625" style="700"/>
    <col min="7422" max="7422" width="5" style="700" customWidth="1"/>
    <col min="7423" max="7423" width="17.7109375" style="700" customWidth="1"/>
    <col min="7424" max="7424" width="13.85546875" style="700" customWidth="1"/>
    <col min="7425" max="7425" width="13.140625" style="700" customWidth="1"/>
    <col min="7426" max="7426" width="12.28515625" style="700" customWidth="1"/>
    <col min="7427" max="7427" width="3" style="700" customWidth="1"/>
    <col min="7428" max="7428" width="20.28515625" style="700" customWidth="1"/>
    <col min="7429" max="7429" width="12.5703125" style="700" customWidth="1"/>
    <col min="7430" max="7430" width="11.7109375" style="700" customWidth="1"/>
    <col min="7431" max="7431" width="9.140625" style="700"/>
    <col min="7432" max="7432" width="2.85546875" style="700" customWidth="1"/>
    <col min="7433" max="7433" width="18.5703125" style="700" customWidth="1"/>
    <col min="7434" max="7434" width="14.42578125" style="700" customWidth="1"/>
    <col min="7435" max="7435" width="13.7109375" style="700" customWidth="1"/>
    <col min="7436" max="7436" width="10.140625" style="700" customWidth="1"/>
    <col min="7437" max="7437" width="4.42578125" style="700" customWidth="1"/>
    <col min="7438" max="7438" width="24" style="700" customWidth="1"/>
    <col min="7439" max="7439" width="13.140625" style="700" customWidth="1"/>
    <col min="7440" max="7440" width="13" style="700" customWidth="1"/>
    <col min="7441" max="7441" width="10.42578125" style="700" customWidth="1"/>
    <col min="7442" max="7677" width="9.140625" style="700"/>
    <col min="7678" max="7678" width="5" style="700" customWidth="1"/>
    <col min="7679" max="7679" width="17.7109375" style="700" customWidth="1"/>
    <col min="7680" max="7680" width="13.85546875" style="700" customWidth="1"/>
    <col min="7681" max="7681" width="13.140625" style="700" customWidth="1"/>
    <col min="7682" max="7682" width="12.28515625" style="700" customWidth="1"/>
    <col min="7683" max="7683" width="3" style="700" customWidth="1"/>
    <col min="7684" max="7684" width="20.28515625" style="700" customWidth="1"/>
    <col min="7685" max="7685" width="12.5703125" style="700" customWidth="1"/>
    <col min="7686" max="7686" width="11.7109375" style="700" customWidth="1"/>
    <col min="7687" max="7687" width="9.140625" style="700"/>
    <col min="7688" max="7688" width="2.85546875" style="700" customWidth="1"/>
    <col min="7689" max="7689" width="18.5703125" style="700" customWidth="1"/>
    <col min="7690" max="7690" width="14.42578125" style="700" customWidth="1"/>
    <col min="7691" max="7691" width="13.7109375" style="700" customWidth="1"/>
    <col min="7692" max="7692" width="10.140625" style="700" customWidth="1"/>
    <col min="7693" max="7693" width="4.42578125" style="700" customWidth="1"/>
    <col min="7694" max="7694" width="24" style="700" customWidth="1"/>
    <col min="7695" max="7695" width="13.140625" style="700" customWidth="1"/>
    <col min="7696" max="7696" width="13" style="700" customWidth="1"/>
    <col min="7697" max="7697" width="10.42578125" style="700" customWidth="1"/>
    <col min="7698" max="7933" width="9.140625" style="700"/>
    <col min="7934" max="7934" width="5" style="700" customWidth="1"/>
    <col min="7935" max="7935" width="17.7109375" style="700" customWidth="1"/>
    <col min="7936" max="7936" width="13.85546875" style="700" customWidth="1"/>
    <col min="7937" max="7937" width="13.140625" style="700" customWidth="1"/>
    <col min="7938" max="7938" width="12.28515625" style="700" customWidth="1"/>
    <col min="7939" max="7939" width="3" style="700" customWidth="1"/>
    <col min="7940" max="7940" width="20.28515625" style="700" customWidth="1"/>
    <col min="7941" max="7941" width="12.5703125" style="700" customWidth="1"/>
    <col min="7942" max="7942" width="11.7109375" style="700" customWidth="1"/>
    <col min="7943" max="7943" width="9.140625" style="700"/>
    <col min="7944" max="7944" width="2.85546875" style="700" customWidth="1"/>
    <col min="7945" max="7945" width="18.5703125" style="700" customWidth="1"/>
    <col min="7946" max="7946" width="14.42578125" style="700" customWidth="1"/>
    <col min="7947" max="7947" width="13.7109375" style="700" customWidth="1"/>
    <col min="7948" max="7948" width="10.140625" style="700" customWidth="1"/>
    <col min="7949" max="7949" width="4.42578125" style="700" customWidth="1"/>
    <col min="7950" max="7950" width="24" style="700" customWidth="1"/>
    <col min="7951" max="7951" width="13.140625" style="700" customWidth="1"/>
    <col min="7952" max="7952" width="13" style="700" customWidth="1"/>
    <col min="7953" max="7953" width="10.42578125" style="700" customWidth="1"/>
    <col min="7954" max="8189" width="9.140625" style="700"/>
    <col min="8190" max="8190" width="5" style="700" customWidth="1"/>
    <col min="8191" max="8191" width="17.7109375" style="700" customWidth="1"/>
    <col min="8192" max="8192" width="13.85546875" style="700" customWidth="1"/>
    <col min="8193" max="8193" width="13.140625" style="700" customWidth="1"/>
    <col min="8194" max="8194" width="12.28515625" style="700" customWidth="1"/>
    <col min="8195" max="8195" width="3" style="700" customWidth="1"/>
    <col min="8196" max="8196" width="20.28515625" style="700" customWidth="1"/>
    <col min="8197" max="8197" width="12.5703125" style="700" customWidth="1"/>
    <col min="8198" max="8198" width="11.7109375" style="700" customWidth="1"/>
    <col min="8199" max="8199" width="9.140625" style="700"/>
    <col min="8200" max="8200" width="2.85546875" style="700" customWidth="1"/>
    <col min="8201" max="8201" width="18.5703125" style="700" customWidth="1"/>
    <col min="8202" max="8202" width="14.42578125" style="700" customWidth="1"/>
    <col min="8203" max="8203" width="13.7109375" style="700" customWidth="1"/>
    <col min="8204" max="8204" width="10.140625" style="700" customWidth="1"/>
    <col min="8205" max="8205" width="4.42578125" style="700" customWidth="1"/>
    <col min="8206" max="8206" width="24" style="700" customWidth="1"/>
    <col min="8207" max="8207" width="13.140625" style="700" customWidth="1"/>
    <col min="8208" max="8208" width="13" style="700" customWidth="1"/>
    <col min="8209" max="8209" width="10.42578125" style="700" customWidth="1"/>
    <col min="8210" max="8445" width="9.140625" style="700"/>
    <col min="8446" max="8446" width="5" style="700" customWidth="1"/>
    <col min="8447" max="8447" width="17.7109375" style="700" customWidth="1"/>
    <col min="8448" max="8448" width="13.85546875" style="700" customWidth="1"/>
    <col min="8449" max="8449" width="13.140625" style="700" customWidth="1"/>
    <col min="8450" max="8450" width="12.28515625" style="700" customWidth="1"/>
    <col min="8451" max="8451" width="3" style="700" customWidth="1"/>
    <col min="8452" max="8452" width="20.28515625" style="700" customWidth="1"/>
    <col min="8453" max="8453" width="12.5703125" style="700" customWidth="1"/>
    <col min="8454" max="8454" width="11.7109375" style="700" customWidth="1"/>
    <col min="8455" max="8455" width="9.140625" style="700"/>
    <col min="8456" max="8456" width="2.85546875" style="700" customWidth="1"/>
    <col min="8457" max="8457" width="18.5703125" style="700" customWidth="1"/>
    <col min="8458" max="8458" width="14.42578125" style="700" customWidth="1"/>
    <col min="8459" max="8459" width="13.7109375" style="700" customWidth="1"/>
    <col min="8460" max="8460" width="10.140625" style="700" customWidth="1"/>
    <col min="8461" max="8461" width="4.42578125" style="700" customWidth="1"/>
    <col min="8462" max="8462" width="24" style="700" customWidth="1"/>
    <col min="8463" max="8463" width="13.140625" style="700" customWidth="1"/>
    <col min="8464" max="8464" width="13" style="700" customWidth="1"/>
    <col min="8465" max="8465" width="10.42578125" style="700" customWidth="1"/>
    <col min="8466" max="8701" width="9.140625" style="700"/>
    <col min="8702" max="8702" width="5" style="700" customWidth="1"/>
    <col min="8703" max="8703" width="17.7109375" style="700" customWidth="1"/>
    <col min="8704" max="8704" width="13.85546875" style="700" customWidth="1"/>
    <col min="8705" max="8705" width="13.140625" style="700" customWidth="1"/>
    <col min="8706" max="8706" width="12.28515625" style="700" customWidth="1"/>
    <col min="8707" max="8707" width="3" style="700" customWidth="1"/>
    <col min="8708" max="8708" width="20.28515625" style="700" customWidth="1"/>
    <col min="8709" max="8709" width="12.5703125" style="700" customWidth="1"/>
    <col min="8710" max="8710" width="11.7109375" style="700" customWidth="1"/>
    <col min="8711" max="8711" width="9.140625" style="700"/>
    <col min="8712" max="8712" width="2.85546875" style="700" customWidth="1"/>
    <col min="8713" max="8713" width="18.5703125" style="700" customWidth="1"/>
    <col min="8714" max="8714" width="14.42578125" style="700" customWidth="1"/>
    <col min="8715" max="8715" width="13.7109375" style="700" customWidth="1"/>
    <col min="8716" max="8716" width="10.140625" style="700" customWidth="1"/>
    <col min="8717" max="8717" width="4.42578125" style="700" customWidth="1"/>
    <col min="8718" max="8718" width="24" style="700" customWidth="1"/>
    <col min="8719" max="8719" width="13.140625" style="700" customWidth="1"/>
    <col min="8720" max="8720" width="13" style="700" customWidth="1"/>
    <col min="8721" max="8721" width="10.42578125" style="700" customWidth="1"/>
    <col min="8722" max="8957" width="9.140625" style="700"/>
    <col min="8958" max="8958" width="5" style="700" customWidth="1"/>
    <col min="8959" max="8959" width="17.7109375" style="700" customWidth="1"/>
    <col min="8960" max="8960" width="13.85546875" style="700" customWidth="1"/>
    <col min="8961" max="8961" width="13.140625" style="700" customWidth="1"/>
    <col min="8962" max="8962" width="12.28515625" style="700" customWidth="1"/>
    <col min="8963" max="8963" width="3" style="700" customWidth="1"/>
    <col min="8964" max="8964" width="20.28515625" style="700" customWidth="1"/>
    <col min="8965" max="8965" width="12.5703125" style="700" customWidth="1"/>
    <col min="8966" max="8966" width="11.7109375" style="700" customWidth="1"/>
    <col min="8967" max="8967" width="9.140625" style="700"/>
    <col min="8968" max="8968" width="2.85546875" style="700" customWidth="1"/>
    <col min="8969" max="8969" width="18.5703125" style="700" customWidth="1"/>
    <col min="8970" max="8970" width="14.42578125" style="700" customWidth="1"/>
    <col min="8971" max="8971" width="13.7109375" style="700" customWidth="1"/>
    <col min="8972" max="8972" width="10.140625" style="700" customWidth="1"/>
    <col min="8973" max="8973" width="4.42578125" style="700" customWidth="1"/>
    <col min="8974" max="8974" width="24" style="700" customWidth="1"/>
    <col min="8975" max="8975" width="13.140625" style="700" customWidth="1"/>
    <col min="8976" max="8976" width="13" style="700" customWidth="1"/>
    <col min="8977" max="8977" width="10.42578125" style="700" customWidth="1"/>
    <col min="8978" max="9213" width="9.140625" style="700"/>
    <col min="9214" max="9214" width="5" style="700" customWidth="1"/>
    <col min="9215" max="9215" width="17.7109375" style="700" customWidth="1"/>
    <col min="9216" max="9216" width="13.85546875" style="700" customWidth="1"/>
    <col min="9217" max="9217" width="13.140625" style="700" customWidth="1"/>
    <col min="9218" max="9218" width="12.28515625" style="700" customWidth="1"/>
    <col min="9219" max="9219" width="3" style="700" customWidth="1"/>
    <col min="9220" max="9220" width="20.28515625" style="700" customWidth="1"/>
    <col min="9221" max="9221" width="12.5703125" style="700" customWidth="1"/>
    <col min="9222" max="9222" width="11.7109375" style="700" customWidth="1"/>
    <col min="9223" max="9223" width="9.140625" style="700"/>
    <col min="9224" max="9224" width="2.85546875" style="700" customWidth="1"/>
    <col min="9225" max="9225" width="18.5703125" style="700" customWidth="1"/>
    <col min="9226" max="9226" width="14.42578125" style="700" customWidth="1"/>
    <col min="9227" max="9227" width="13.7109375" style="700" customWidth="1"/>
    <col min="9228" max="9228" width="10.140625" style="700" customWidth="1"/>
    <col min="9229" max="9229" width="4.42578125" style="700" customWidth="1"/>
    <col min="9230" max="9230" width="24" style="700" customWidth="1"/>
    <col min="9231" max="9231" width="13.140625" style="700" customWidth="1"/>
    <col min="9232" max="9232" width="13" style="700" customWidth="1"/>
    <col min="9233" max="9233" width="10.42578125" style="700" customWidth="1"/>
    <col min="9234" max="9469" width="9.140625" style="700"/>
    <col min="9470" max="9470" width="5" style="700" customWidth="1"/>
    <col min="9471" max="9471" width="17.7109375" style="700" customWidth="1"/>
    <col min="9472" max="9472" width="13.85546875" style="700" customWidth="1"/>
    <col min="9473" max="9473" width="13.140625" style="700" customWidth="1"/>
    <col min="9474" max="9474" width="12.28515625" style="700" customWidth="1"/>
    <col min="9475" max="9475" width="3" style="700" customWidth="1"/>
    <col min="9476" max="9476" width="20.28515625" style="700" customWidth="1"/>
    <col min="9477" max="9477" width="12.5703125" style="700" customWidth="1"/>
    <col min="9478" max="9478" width="11.7109375" style="700" customWidth="1"/>
    <col min="9479" max="9479" width="9.140625" style="700"/>
    <col min="9480" max="9480" width="2.85546875" style="700" customWidth="1"/>
    <col min="9481" max="9481" width="18.5703125" style="700" customWidth="1"/>
    <col min="9482" max="9482" width="14.42578125" style="700" customWidth="1"/>
    <col min="9483" max="9483" width="13.7109375" style="700" customWidth="1"/>
    <col min="9484" max="9484" width="10.140625" style="700" customWidth="1"/>
    <col min="9485" max="9485" width="4.42578125" style="700" customWidth="1"/>
    <col min="9486" max="9486" width="24" style="700" customWidth="1"/>
    <col min="9487" max="9487" width="13.140625" style="700" customWidth="1"/>
    <col min="9488" max="9488" width="13" style="700" customWidth="1"/>
    <col min="9489" max="9489" width="10.42578125" style="700" customWidth="1"/>
    <col min="9490" max="9725" width="9.140625" style="700"/>
    <col min="9726" max="9726" width="5" style="700" customWidth="1"/>
    <col min="9727" max="9727" width="17.7109375" style="700" customWidth="1"/>
    <col min="9728" max="9728" width="13.85546875" style="700" customWidth="1"/>
    <col min="9729" max="9729" width="13.140625" style="700" customWidth="1"/>
    <col min="9730" max="9730" width="12.28515625" style="700" customWidth="1"/>
    <col min="9731" max="9731" width="3" style="700" customWidth="1"/>
    <col min="9732" max="9732" width="20.28515625" style="700" customWidth="1"/>
    <col min="9733" max="9733" width="12.5703125" style="700" customWidth="1"/>
    <col min="9734" max="9734" width="11.7109375" style="700" customWidth="1"/>
    <col min="9735" max="9735" width="9.140625" style="700"/>
    <col min="9736" max="9736" width="2.85546875" style="700" customWidth="1"/>
    <col min="9737" max="9737" width="18.5703125" style="700" customWidth="1"/>
    <col min="9738" max="9738" width="14.42578125" style="700" customWidth="1"/>
    <col min="9739" max="9739" width="13.7109375" style="700" customWidth="1"/>
    <col min="9740" max="9740" width="10.140625" style="700" customWidth="1"/>
    <col min="9741" max="9741" width="4.42578125" style="700" customWidth="1"/>
    <col min="9742" max="9742" width="24" style="700" customWidth="1"/>
    <col min="9743" max="9743" width="13.140625" style="700" customWidth="1"/>
    <col min="9744" max="9744" width="13" style="700" customWidth="1"/>
    <col min="9745" max="9745" width="10.42578125" style="700" customWidth="1"/>
    <col min="9746" max="9981" width="9.140625" style="700"/>
    <col min="9982" max="9982" width="5" style="700" customWidth="1"/>
    <col min="9983" max="9983" width="17.7109375" style="700" customWidth="1"/>
    <col min="9984" max="9984" width="13.85546875" style="700" customWidth="1"/>
    <col min="9985" max="9985" width="13.140625" style="700" customWidth="1"/>
    <col min="9986" max="9986" width="12.28515625" style="700" customWidth="1"/>
    <col min="9987" max="9987" width="3" style="700" customWidth="1"/>
    <col min="9988" max="9988" width="20.28515625" style="700" customWidth="1"/>
    <col min="9989" max="9989" width="12.5703125" style="700" customWidth="1"/>
    <col min="9990" max="9990" width="11.7109375" style="700" customWidth="1"/>
    <col min="9991" max="9991" width="9.140625" style="700"/>
    <col min="9992" max="9992" width="2.85546875" style="700" customWidth="1"/>
    <col min="9993" max="9993" width="18.5703125" style="700" customWidth="1"/>
    <col min="9994" max="9994" width="14.42578125" style="700" customWidth="1"/>
    <col min="9995" max="9995" width="13.7109375" style="700" customWidth="1"/>
    <col min="9996" max="9996" width="10.140625" style="700" customWidth="1"/>
    <col min="9997" max="9997" width="4.42578125" style="700" customWidth="1"/>
    <col min="9998" max="9998" width="24" style="700" customWidth="1"/>
    <col min="9999" max="9999" width="13.140625" style="700" customWidth="1"/>
    <col min="10000" max="10000" width="13" style="700" customWidth="1"/>
    <col min="10001" max="10001" width="10.42578125" style="700" customWidth="1"/>
    <col min="10002" max="10237" width="9.140625" style="700"/>
    <col min="10238" max="10238" width="5" style="700" customWidth="1"/>
    <col min="10239" max="10239" width="17.7109375" style="700" customWidth="1"/>
    <col min="10240" max="10240" width="13.85546875" style="700" customWidth="1"/>
    <col min="10241" max="10241" width="13.140625" style="700" customWidth="1"/>
    <col min="10242" max="10242" width="12.28515625" style="700" customWidth="1"/>
    <col min="10243" max="10243" width="3" style="700" customWidth="1"/>
    <col min="10244" max="10244" width="20.28515625" style="700" customWidth="1"/>
    <col min="10245" max="10245" width="12.5703125" style="700" customWidth="1"/>
    <col min="10246" max="10246" width="11.7109375" style="700" customWidth="1"/>
    <col min="10247" max="10247" width="9.140625" style="700"/>
    <col min="10248" max="10248" width="2.85546875" style="700" customWidth="1"/>
    <col min="10249" max="10249" width="18.5703125" style="700" customWidth="1"/>
    <col min="10250" max="10250" width="14.42578125" style="700" customWidth="1"/>
    <col min="10251" max="10251" width="13.7109375" style="700" customWidth="1"/>
    <col min="10252" max="10252" width="10.140625" style="700" customWidth="1"/>
    <col min="10253" max="10253" width="4.42578125" style="700" customWidth="1"/>
    <col min="10254" max="10254" width="24" style="700" customWidth="1"/>
    <col min="10255" max="10255" width="13.140625" style="700" customWidth="1"/>
    <col min="10256" max="10256" width="13" style="700" customWidth="1"/>
    <col min="10257" max="10257" width="10.42578125" style="700" customWidth="1"/>
    <col min="10258" max="10493" width="9.140625" style="700"/>
    <col min="10494" max="10494" width="5" style="700" customWidth="1"/>
    <col min="10495" max="10495" width="17.7109375" style="700" customWidth="1"/>
    <col min="10496" max="10496" width="13.85546875" style="700" customWidth="1"/>
    <col min="10497" max="10497" width="13.140625" style="700" customWidth="1"/>
    <col min="10498" max="10498" width="12.28515625" style="700" customWidth="1"/>
    <col min="10499" max="10499" width="3" style="700" customWidth="1"/>
    <col min="10500" max="10500" width="20.28515625" style="700" customWidth="1"/>
    <col min="10501" max="10501" width="12.5703125" style="700" customWidth="1"/>
    <col min="10502" max="10502" width="11.7109375" style="700" customWidth="1"/>
    <col min="10503" max="10503" width="9.140625" style="700"/>
    <col min="10504" max="10504" width="2.85546875" style="700" customWidth="1"/>
    <col min="10505" max="10505" width="18.5703125" style="700" customWidth="1"/>
    <col min="10506" max="10506" width="14.42578125" style="700" customWidth="1"/>
    <col min="10507" max="10507" width="13.7109375" style="700" customWidth="1"/>
    <col min="10508" max="10508" width="10.140625" style="700" customWidth="1"/>
    <col min="10509" max="10509" width="4.42578125" style="700" customWidth="1"/>
    <col min="10510" max="10510" width="24" style="700" customWidth="1"/>
    <col min="10511" max="10511" width="13.140625" style="700" customWidth="1"/>
    <col min="10512" max="10512" width="13" style="700" customWidth="1"/>
    <col min="10513" max="10513" width="10.42578125" style="700" customWidth="1"/>
    <col min="10514" max="10749" width="9.140625" style="700"/>
    <col min="10750" max="10750" width="5" style="700" customWidth="1"/>
    <col min="10751" max="10751" width="17.7109375" style="700" customWidth="1"/>
    <col min="10752" max="10752" width="13.85546875" style="700" customWidth="1"/>
    <col min="10753" max="10753" width="13.140625" style="700" customWidth="1"/>
    <col min="10754" max="10754" width="12.28515625" style="700" customWidth="1"/>
    <col min="10755" max="10755" width="3" style="700" customWidth="1"/>
    <col min="10756" max="10756" width="20.28515625" style="700" customWidth="1"/>
    <col min="10757" max="10757" width="12.5703125" style="700" customWidth="1"/>
    <col min="10758" max="10758" width="11.7109375" style="700" customWidth="1"/>
    <col min="10759" max="10759" width="9.140625" style="700"/>
    <col min="10760" max="10760" width="2.85546875" style="700" customWidth="1"/>
    <col min="10761" max="10761" width="18.5703125" style="700" customWidth="1"/>
    <col min="10762" max="10762" width="14.42578125" style="700" customWidth="1"/>
    <col min="10763" max="10763" width="13.7109375" style="700" customWidth="1"/>
    <col min="10764" max="10764" width="10.140625" style="700" customWidth="1"/>
    <col min="10765" max="10765" width="4.42578125" style="700" customWidth="1"/>
    <col min="10766" max="10766" width="24" style="700" customWidth="1"/>
    <col min="10767" max="10767" width="13.140625" style="700" customWidth="1"/>
    <col min="10768" max="10768" width="13" style="700" customWidth="1"/>
    <col min="10769" max="10769" width="10.42578125" style="700" customWidth="1"/>
    <col min="10770" max="11005" width="9.140625" style="700"/>
    <col min="11006" max="11006" width="5" style="700" customWidth="1"/>
    <col min="11007" max="11007" width="17.7109375" style="700" customWidth="1"/>
    <col min="11008" max="11008" width="13.85546875" style="700" customWidth="1"/>
    <col min="11009" max="11009" width="13.140625" style="700" customWidth="1"/>
    <col min="11010" max="11010" width="12.28515625" style="700" customWidth="1"/>
    <col min="11011" max="11011" width="3" style="700" customWidth="1"/>
    <col min="11012" max="11012" width="20.28515625" style="700" customWidth="1"/>
    <col min="11013" max="11013" width="12.5703125" style="700" customWidth="1"/>
    <col min="11014" max="11014" width="11.7109375" style="700" customWidth="1"/>
    <col min="11015" max="11015" width="9.140625" style="700"/>
    <col min="11016" max="11016" width="2.85546875" style="700" customWidth="1"/>
    <col min="11017" max="11017" width="18.5703125" style="700" customWidth="1"/>
    <col min="11018" max="11018" width="14.42578125" style="700" customWidth="1"/>
    <col min="11019" max="11019" width="13.7109375" style="700" customWidth="1"/>
    <col min="11020" max="11020" width="10.140625" style="700" customWidth="1"/>
    <col min="11021" max="11021" width="4.42578125" style="700" customWidth="1"/>
    <col min="11022" max="11022" width="24" style="700" customWidth="1"/>
    <col min="11023" max="11023" width="13.140625" style="700" customWidth="1"/>
    <col min="11024" max="11024" width="13" style="700" customWidth="1"/>
    <col min="11025" max="11025" width="10.42578125" style="700" customWidth="1"/>
    <col min="11026" max="11261" width="9.140625" style="700"/>
    <col min="11262" max="11262" width="5" style="700" customWidth="1"/>
    <col min="11263" max="11263" width="17.7109375" style="700" customWidth="1"/>
    <col min="11264" max="11264" width="13.85546875" style="700" customWidth="1"/>
    <col min="11265" max="11265" width="13.140625" style="700" customWidth="1"/>
    <col min="11266" max="11266" width="12.28515625" style="700" customWidth="1"/>
    <col min="11267" max="11267" width="3" style="700" customWidth="1"/>
    <col min="11268" max="11268" width="20.28515625" style="700" customWidth="1"/>
    <col min="11269" max="11269" width="12.5703125" style="700" customWidth="1"/>
    <col min="11270" max="11270" width="11.7109375" style="700" customWidth="1"/>
    <col min="11271" max="11271" width="9.140625" style="700"/>
    <col min="11272" max="11272" width="2.85546875" style="700" customWidth="1"/>
    <col min="11273" max="11273" width="18.5703125" style="700" customWidth="1"/>
    <col min="11274" max="11274" width="14.42578125" style="700" customWidth="1"/>
    <col min="11275" max="11275" width="13.7109375" style="700" customWidth="1"/>
    <col min="11276" max="11276" width="10.140625" style="700" customWidth="1"/>
    <col min="11277" max="11277" width="4.42578125" style="700" customWidth="1"/>
    <col min="11278" max="11278" width="24" style="700" customWidth="1"/>
    <col min="11279" max="11279" width="13.140625" style="700" customWidth="1"/>
    <col min="11280" max="11280" width="13" style="700" customWidth="1"/>
    <col min="11281" max="11281" width="10.42578125" style="700" customWidth="1"/>
    <col min="11282" max="11517" width="9.140625" style="700"/>
    <col min="11518" max="11518" width="5" style="700" customWidth="1"/>
    <col min="11519" max="11519" width="17.7109375" style="700" customWidth="1"/>
    <col min="11520" max="11520" width="13.85546875" style="700" customWidth="1"/>
    <col min="11521" max="11521" width="13.140625" style="700" customWidth="1"/>
    <col min="11522" max="11522" width="12.28515625" style="700" customWidth="1"/>
    <col min="11523" max="11523" width="3" style="700" customWidth="1"/>
    <col min="11524" max="11524" width="20.28515625" style="700" customWidth="1"/>
    <col min="11525" max="11525" width="12.5703125" style="700" customWidth="1"/>
    <col min="11526" max="11526" width="11.7109375" style="700" customWidth="1"/>
    <col min="11527" max="11527" width="9.140625" style="700"/>
    <col min="11528" max="11528" width="2.85546875" style="700" customWidth="1"/>
    <col min="11529" max="11529" width="18.5703125" style="700" customWidth="1"/>
    <col min="11530" max="11530" width="14.42578125" style="700" customWidth="1"/>
    <col min="11531" max="11531" width="13.7109375" style="700" customWidth="1"/>
    <col min="11532" max="11532" width="10.140625" style="700" customWidth="1"/>
    <col min="11533" max="11533" width="4.42578125" style="700" customWidth="1"/>
    <col min="11534" max="11534" width="24" style="700" customWidth="1"/>
    <col min="11535" max="11535" width="13.140625" style="700" customWidth="1"/>
    <col min="11536" max="11536" width="13" style="700" customWidth="1"/>
    <col min="11537" max="11537" width="10.42578125" style="700" customWidth="1"/>
    <col min="11538" max="11773" width="9.140625" style="700"/>
    <col min="11774" max="11774" width="5" style="700" customWidth="1"/>
    <col min="11775" max="11775" width="17.7109375" style="700" customWidth="1"/>
    <col min="11776" max="11776" width="13.85546875" style="700" customWidth="1"/>
    <col min="11777" max="11777" width="13.140625" style="700" customWidth="1"/>
    <col min="11778" max="11778" width="12.28515625" style="700" customWidth="1"/>
    <col min="11779" max="11779" width="3" style="700" customWidth="1"/>
    <col min="11780" max="11780" width="20.28515625" style="700" customWidth="1"/>
    <col min="11781" max="11781" width="12.5703125" style="700" customWidth="1"/>
    <col min="11782" max="11782" width="11.7109375" style="700" customWidth="1"/>
    <col min="11783" max="11783" width="9.140625" style="700"/>
    <col min="11784" max="11784" width="2.85546875" style="700" customWidth="1"/>
    <col min="11785" max="11785" width="18.5703125" style="700" customWidth="1"/>
    <col min="11786" max="11786" width="14.42578125" style="700" customWidth="1"/>
    <col min="11787" max="11787" width="13.7109375" style="700" customWidth="1"/>
    <col min="11788" max="11788" width="10.140625" style="700" customWidth="1"/>
    <col min="11789" max="11789" width="4.42578125" style="700" customWidth="1"/>
    <col min="11790" max="11790" width="24" style="700" customWidth="1"/>
    <col min="11791" max="11791" width="13.140625" style="700" customWidth="1"/>
    <col min="11792" max="11792" width="13" style="700" customWidth="1"/>
    <col min="11793" max="11793" width="10.42578125" style="700" customWidth="1"/>
    <col min="11794" max="12029" width="9.140625" style="700"/>
    <col min="12030" max="12030" width="5" style="700" customWidth="1"/>
    <col min="12031" max="12031" width="17.7109375" style="700" customWidth="1"/>
    <col min="12032" max="12032" width="13.85546875" style="700" customWidth="1"/>
    <col min="12033" max="12033" width="13.140625" style="700" customWidth="1"/>
    <col min="12034" max="12034" width="12.28515625" style="700" customWidth="1"/>
    <col min="12035" max="12035" width="3" style="700" customWidth="1"/>
    <col min="12036" max="12036" width="20.28515625" style="700" customWidth="1"/>
    <col min="12037" max="12037" width="12.5703125" style="700" customWidth="1"/>
    <col min="12038" max="12038" width="11.7109375" style="700" customWidth="1"/>
    <col min="12039" max="12039" width="9.140625" style="700"/>
    <col min="12040" max="12040" width="2.85546875" style="700" customWidth="1"/>
    <col min="12041" max="12041" width="18.5703125" style="700" customWidth="1"/>
    <col min="12042" max="12042" width="14.42578125" style="700" customWidth="1"/>
    <col min="12043" max="12043" width="13.7109375" style="700" customWidth="1"/>
    <col min="12044" max="12044" width="10.140625" style="700" customWidth="1"/>
    <col min="12045" max="12045" width="4.42578125" style="700" customWidth="1"/>
    <col min="12046" max="12046" width="24" style="700" customWidth="1"/>
    <col min="12047" max="12047" width="13.140625" style="700" customWidth="1"/>
    <col min="12048" max="12048" width="13" style="700" customWidth="1"/>
    <col min="12049" max="12049" width="10.42578125" style="700" customWidth="1"/>
    <col min="12050" max="12285" width="9.140625" style="700"/>
    <col min="12286" max="12286" width="5" style="700" customWidth="1"/>
    <col min="12287" max="12287" width="17.7109375" style="700" customWidth="1"/>
    <col min="12288" max="12288" width="13.85546875" style="700" customWidth="1"/>
    <col min="12289" max="12289" width="13.140625" style="700" customWidth="1"/>
    <col min="12290" max="12290" width="12.28515625" style="700" customWidth="1"/>
    <col min="12291" max="12291" width="3" style="700" customWidth="1"/>
    <col min="12292" max="12292" width="20.28515625" style="700" customWidth="1"/>
    <col min="12293" max="12293" width="12.5703125" style="700" customWidth="1"/>
    <col min="12294" max="12294" width="11.7109375" style="700" customWidth="1"/>
    <col min="12295" max="12295" width="9.140625" style="700"/>
    <col min="12296" max="12296" width="2.85546875" style="700" customWidth="1"/>
    <col min="12297" max="12297" width="18.5703125" style="700" customWidth="1"/>
    <col min="12298" max="12298" width="14.42578125" style="700" customWidth="1"/>
    <col min="12299" max="12299" width="13.7109375" style="700" customWidth="1"/>
    <col min="12300" max="12300" width="10.140625" style="700" customWidth="1"/>
    <col min="12301" max="12301" width="4.42578125" style="700" customWidth="1"/>
    <col min="12302" max="12302" width="24" style="700" customWidth="1"/>
    <col min="12303" max="12303" width="13.140625" style="700" customWidth="1"/>
    <col min="12304" max="12304" width="13" style="700" customWidth="1"/>
    <col min="12305" max="12305" width="10.42578125" style="700" customWidth="1"/>
    <col min="12306" max="12541" width="9.140625" style="700"/>
    <col min="12542" max="12542" width="5" style="700" customWidth="1"/>
    <col min="12543" max="12543" width="17.7109375" style="700" customWidth="1"/>
    <col min="12544" max="12544" width="13.85546875" style="700" customWidth="1"/>
    <col min="12545" max="12545" width="13.140625" style="700" customWidth="1"/>
    <col min="12546" max="12546" width="12.28515625" style="700" customWidth="1"/>
    <col min="12547" max="12547" width="3" style="700" customWidth="1"/>
    <col min="12548" max="12548" width="20.28515625" style="700" customWidth="1"/>
    <col min="12549" max="12549" width="12.5703125" style="700" customWidth="1"/>
    <col min="12550" max="12550" width="11.7109375" style="700" customWidth="1"/>
    <col min="12551" max="12551" width="9.140625" style="700"/>
    <col min="12552" max="12552" width="2.85546875" style="700" customWidth="1"/>
    <col min="12553" max="12553" width="18.5703125" style="700" customWidth="1"/>
    <col min="12554" max="12554" width="14.42578125" style="700" customWidth="1"/>
    <col min="12555" max="12555" width="13.7109375" style="700" customWidth="1"/>
    <col min="12556" max="12556" width="10.140625" style="700" customWidth="1"/>
    <col min="12557" max="12557" width="4.42578125" style="700" customWidth="1"/>
    <col min="12558" max="12558" width="24" style="700" customWidth="1"/>
    <col min="12559" max="12559" width="13.140625" style="700" customWidth="1"/>
    <col min="12560" max="12560" width="13" style="700" customWidth="1"/>
    <col min="12561" max="12561" width="10.42578125" style="700" customWidth="1"/>
    <col min="12562" max="12797" width="9.140625" style="700"/>
    <col min="12798" max="12798" width="5" style="700" customWidth="1"/>
    <col min="12799" max="12799" width="17.7109375" style="700" customWidth="1"/>
    <col min="12800" max="12800" width="13.85546875" style="700" customWidth="1"/>
    <col min="12801" max="12801" width="13.140625" style="700" customWidth="1"/>
    <col min="12802" max="12802" width="12.28515625" style="700" customWidth="1"/>
    <col min="12803" max="12803" width="3" style="700" customWidth="1"/>
    <col min="12804" max="12804" width="20.28515625" style="700" customWidth="1"/>
    <col min="12805" max="12805" width="12.5703125" style="700" customWidth="1"/>
    <col min="12806" max="12806" width="11.7109375" style="700" customWidth="1"/>
    <col min="12807" max="12807" width="9.140625" style="700"/>
    <col min="12808" max="12808" width="2.85546875" style="700" customWidth="1"/>
    <col min="12809" max="12809" width="18.5703125" style="700" customWidth="1"/>
    <col min="12810" max="12810" width="14.42578125" style="700" customWidth="1"/>
    <col min="12811" max="12811" width="13.7109375" style="700" customWidth="1"/>
    <col min="12812" max="12812" width="10.140625" style="700" customWidth="1"/>
    <col min="12813" max="12813" width="4.42578125" style="700" customWidth="1"/>
    <col min="12814" max="12814" width="24" style="700" customWidth="1"/>
    <col min="12815" max="12815" width="13.140625" style="700" customWidth="1"/>
    <col min="12816" max="12816" width="13" style="700" customWidth="1"/>
    <col min="12817" max="12817" width="10.42578125" style="700" customWidth="1"/>
    <col min="12818" max="13053" width="9.140625" style="700"/>
    <col min="13054" max="13054" width="5" style="700" customWidth="1"/>
    <col min="13055" max="13055" width="17.7109375" style="700" customWidth="1"/>
    <col min="13056" max="13056" width="13.85546875" style="700" customWidth="1"/>
    <col min="13057" max="13057" width="13.140625" style="700" customWidth="1"/>
    <col min="13058" max="13058" width="12.28515625" style="700" customWidth="1"/>
    <col min="13059" max="13059" width="3" style="700" customWidth="1"/>
    <col min="13060" max="13060" width="20.28515625" style="700" customWidth="1"/>
    <col min="13061" max="13061" width="12.5703125" style="700" customWidth="1"/>
    <col min="13062" max="13062" width="11.7109375" style="700" customWidth="1"/>
    <col min="13063" max="13063" width="9.140625" style="700"/>
    <col min="13064" max="13064" width="2.85546875" style="700" customWidth="1"/>
    <col min="13065" max="13065" width="18.5703125" style="700" customWidth="1"/>
    <col min="13066" max="13066" width="14.42578125" style="700" customWidth="1"/>
    <col min="13067" max="13067" width="13.7109375" style="700" customWidth="1"/>
    <col min="13068" max="13068" width="10.140625" style="700" customWidth="1"/>
    <col min="13069" max="13069" width="4.42578125" style="700" customWidth="1"/>
    <col min="13070" max="13070" width="24" style="700" customWidth="1"/>
    <col min="13071" max="13071" width="13.140625" style="700" customWidth="1"/>
    <col min="13072" max="13072" width="13" style="700" customWidth="1"/>
    <col min="13073" max="13073" width="10.42578125" style="700" customWidth="1"/>
    <col min="13074" max="13309" width="9.140625" style="700"/>
    <col min="13310" max="13310" width="5" style="700" customWidth="1"/>
    <col min="13311" max="13311" width="17.7109375" style="700" customWidth="1"/>
    <col min="13312" max="13312" width="13.85546875" style="700" customWidth="1"/>
    <col min="13313" max="13313" width="13.140625" style="700" customWidth="1"/>
    <col min="13314" max="13314" width="12.28515625" style="700" customWidth="1"/>
    <col min="13315" max="13315" width="3" style="700" customWidth="1"/>
    <col min="13316" max="13316" width="20.28515625" style="700" customWidth="1"/>
    <col min="13317" max="13317" width="12.5703125" style="700" customWidth="1"/>
    <col min="13318" max="13318" width="11.7109375" style="700" customWidth="1"/>
    <col min="13319" max="13319" width="9.140625" style="700"/>
    <col min="13320" max="13320" width="2.85546875" style="700" customWidth="1"/>
    <col min="13321" max="13321" width="18.5703125" style="700" customWidth="1"/>
    <col min="13322" max="13322" width="14.42578125" style="700" customWidth="1"/>
    <col min="13323" max="13323" width="13.7109375" style="700" customWidth="1"/>
    <col min="13324" max="13324" width="10.140625" style="700" customWidth="1"/>
    <col min="13325" max="13325" width="4.42578125" style="700" customWidth="1"/>
    <col min="13326" max="13326" width="24" style="700" customWidth="1"/>
    <col min="13327" max="13327" width="13.140625" style="700" customWidth="1"/>
    <col min="13328" max="13328" width="13" style="700" customWidth="1"/>
    <col min="13329" max="13329" width="10.42578125" style="700" customWidth="1"/>
    <col min="13330" max="13565" width="9.140625" style="700"/>
    <col min="13566" max="13566" width="5" style="700" customWidth="1"/>
    <col min="13567" max="13567" width="17.7109375" style="700" customWidth="1"/>
    <col min="13568" max="13568" width="13.85546875" style="700" customWidth="1"/>
    <col min="13569" max="13569" width="13.140625" style="700" customWidth="1"/>
    <col min="13570" max="13570" width="12.28515625" style="700" customWidth="1"/>
    <col min="13571" max="13571" width="3" style="700" customWidth="1"/>
    <col min="13572" max="13572" width="20.28515625" style="700" customWidth="1"/>
    <col min="13573" max="13573" width="12.5703125" style="700" customWidth="1"/>
    <col min="13574" max="13574" width="11.7109375" style="700" customWidth="1"/>
    <col min="13575" max="13575" width="9.140625" style="700"/>
    <col min="13576" max="13576" width="2.85546875" style="700" customWidth="1"/>
    <col min="13577" max="13577" width="18.5703125" style="700" customWidth="1"/>
    <col min="13578" max="13578" width="14.42578125" style="700" customWidth="1"/>
    <col min="13579" max="13579" width="13.7109375" style="700" customWidth="1"/>
    <col min="13580" max="13580" width="10.140625" style="700" customWidth="1"/>
    <col min="13581" max="13581" width="4.42578125" style="700" customWidth="1"/>
    <col min="13582" max="13582" width="24" style="700" customWidth="1"/>
    <col min="13583" max="13583" width="13.140625" style="700" customWidth="1"/>
    <col min="13584" max="13584" width="13" style="700" customWidth="1"/>
    <col min="13585" max="13585" width="10.42578125" style="700" customWidth="1"/>
    <col min="13586" max="13821" width="9.140625" style="700"/>
    <col min="13822" max="13822" width="5" style="700" customWidth="1"/>
    <col min="13823" max="13823" width="17.7109375" style="700" customWidth="1"/>
    <col min="13824" max="13824" width="13.85546875" style="700" customWidth="1"/>
    <col min="13825" max="13825" width="13.140625" style="700" customWidth="1"/>
    <col min="13826" max="13826" width="12.28515625" style="700" customWidth="1"/>
    <col min="13827" max="13827" width="3" style="700" customWidth="1"/>
    <col min="13828" max="13828" width="20.28515625" style="700" customWidth="1"/>
    <col min="13829" max="13829" width="12.5703125" style="700" customWidth="1"/>
    <col min="13830" max="13830" width="11.7109375" style="700" customWidth="1"/>
    <col min="13831" max="13831" width="9.140625" style="700"/>
    <col min="13832" max="13832" width="2.85546875" style="700" customWidth="1"/>
    <col min="13833" max="13833" width="18.5703125" style="700" customWidth="1"/>
    <col min="13834" max="13834" width="14.42578125" style="700" customWidth="1"/>
    <col min="13835" max="13835" width="13.7109375" style="700" customWidth="1"/>
    <col min="13836" max="13836" width="10.140625" style="700" customWidth="1"/>
    <col min="13837" max="13837" width="4.42578125" style="700" customWidth="1"/>
    <col min="13838" max="13838" width="24" style="700" customWidth="1"/>
    <col min="13839" max="13839" width="13.140625" style="700" customWidth="1"/>
    <col min="13840" max="13840" width="13" style="700" customWidth="1"/>
    <col min="13841" max="13841" width="10.42578125" style="700" customWidth="1"/>
    <col min="13842" max="14077" width="9.140625" style="700"/>
    <col min="14078" max="14078" width="5" style="700" customWidth="1"/>
    <col min="14079" max="14079" width="17.7109375" style="700" customWidth="1"/>
    <col min="14080" max="14080" width="13.85546875" style="700" customWidth="1"/>
    <col min="14081" max="14081" width="13.140625" style="700" customWidth="1"/>
    <col min="14082" max="14082" width="12.28515625" style="700" customWidth="1"/>
    <col min="14083" max="14083" width="3" style="700" customWidth="1"/>
    <col min="14084" max="14084" width="20.28515625" style="700" customWidth="1"/>
    <col min="14085" max="14085" width="12.5703125" style="700" customWidth="1"/>
    <col min="14086" max="14086" width="11.7109375" style="700" customWidth="1"/>
    <col min="14087" max="14087" width="9.140625" style="700"/>
    <col min="14088" max="14088" width="2.85546875" style="700" customWidth="1"/>
    <col min="14089" max="14089" width="18.5703125" style="700" customWidth="1"/>
    <col min="14090" max="14090" width="14.42578125" style="700" customWidth="1"/>
    <col min="14091" max="14091" width="13.7109375" style="700" customWidth="1"/>
    <col min="14092" max="14092" width="10.140625" style="700" customWidth="1"/>
    <col min="14093" max="14093" width="4.42578125" style="700" customWidth="1"/>
    <col min="14094" max="14094" width="24" style="700" customWidth="1"/>
    <col min="14095" max="14095" width="13.140625" style="700" customWidth="1"/>
    <col min="14096" max="14096" width="13" style="700" customWidth="1"/>
    <col min="14097" max="14097" width="10.42578125" style="700" customWidth="1"/>
    <col min="14098" max="14333" width="9.140625" style="700"/>
    <col min="14334" max="14334" width="5" style="700" customWidth="1"/>
    <col min="14335" max="14335" width="17.7109375" style="700" customWidth="1"/>
    <col min="14336" max="14336" width="13.85546875" style="700" customWidth="1"/>
    <col min="14337" max="14337" width="13.140625" style="700" customWidth="1"/>
    <col min="14338" max="14338" width="12.28515625" style="700" customWidth="1"/>
    <col min="14339" max="14339" width="3" style="700" customWidth="1"/>
    <col min="14340" max="14340" width="20.28515625" style="700" customWidth="1"/>
    <col min="14341" max="14341" width="12.5703125" style="700" customWidth="1"/>
    <col min="14342" max="14342" width="11.7109375" style="700" customWidth="1"/>
    <col min="14343" max="14343" width="9.140625" style="700"/>
    <col min="14344" max="14344" width="2.85546875" style="700" customWidth="1"/>
    <col min="14345" max="14345" width="18.5703125" style="700" customWidth="1"/>
    <col min="14346" max="14346" width="14.42578125" style="700" customWidth="1"/>
    <col min="14347" max="14347" width="13.7109375" style="700" customWidth="1"/>
    <col min="14348" max="14348" width="10.140625" style="700" customWidth="1"/>
    <col min="14349" max="14349" width="4.42578125" style="700" customWidth="1"/>
    <col min="14350" max="14350" width="24" style="700" customWidth="1"/>
    <col min="14351" max="14351" width="13.140625" style="700" customWidth="1"/>
    <col min="14352" max="14352" width="13" style="700" customWidth="1"/>
    <col min="14353" max="14353" width="10.42578125" style="700" customWidth="1"/>
    <col min="14354" max="14589" width="9.140625" style="700"/>
    <col min="14590" max="14590" width="5" style="700" customWidth="1"/>
    <col min="14591" max="14591" width="17.7109375" style="700" customWidth="1"/>
    <col min="14592" max="14592" width="13.85546875" style="700" customWidth="1"/>
    <col min="14593" max="14593" width="13.140625" style="700" customWidth="1"/>
    <col min="14594" max="14594" width="12.28515625" style="700" customWidth="1"/>
    <col min="14595" max="14595" width="3" style="700" customWidth="1"/>
    <col min="14596" max="14596" width="20.28515625" style="700" customWidth="1"/>
    <col min="14597" max="14597" width="12.5703125" style="700" customWidth="1"/>
    <col min="14598" max="14598" width="11.7109375" style="700" customWidth="1"/>
    <col min="14599" max="14599" width="9.140625" style="700"/>
    <col min="14600" max="14600" width="2.85546875" style="700" customWidth="1"/>
    <col min="14601" max="14601" width="18.5703125" style="700" customWidth="1"/>
    <col min="14602" max="14602" width="14.42578125" style="700" customWidth="1"/>
    <col min="14603" max="14603" width="13.7109375" style="700" customWidth="1"/>
    <col min="14604" max="14604" width="10.140625" style="700" customWidth="1"/>
    <col min="14605" max="14605" width="4.42578125" style="700" customWidth="1"/>
    <col min="14606" max="14606" width="24" style="700" customWidth="1"/>
    <col min="14607" max="14607" width="13.140625" style="700" customWidth="1"/>
    <col min="14608" max="14608" width="13" style="700" customWidth="1"/>
    <col min="14609" max="14609" width="10.42578125" style="700" customWidth="1"/>
    <col min="14610" max="14845" width="9.140625" style="700"/>
    <col min="14846" max="14846" width="5" style="700" customWidth="1"/>
    <col min="14847" max="14847" width="17.7109375" style="700" customWidth="1"/>
    <col min="14848" max="14848" width="13.85546875" style="700" customWidth="1"/>
    <col min="14849" max="14849" width="13.140625" style="700" customWidth="1"/>
    <col min="14850" max="14850" width="12.28515625" style="700" customWidth="1"/>
    <col min="14851" max="14851" width="3" style="700" customWidth="1"/>
    <col min="14852" max="14852" width="20.28515625" style="700" customWidth="1"/>
    <col min="14853" max="14853" width="12.5703125" style="700" customWidth="1"/>
    <col min="14854" max="14854" width="11.7109375" style="700" customWidth="1"/>
    <col min="14855" max="14855" width="9.140625" style="700"/>
    <col min="14856" max="14856" width="2.85546875" style="700" customWidth="1"/>
    <col min="14857" max="14857" width="18.5703125" style="700" customWidth="1"/>
    <col min="14858" max="14858" width="14.42578125" style="700" customWidth="1"/>
    <col min="14859" max="14859" width="13.7109375" style="700" customWidth="1"/>
    <col min="14860" max="14860" width="10.140625" style="700" customWidth="1"/>
    <col min="14861" max="14861" width="4.42578125" style="700" customWidth="1"/>
    <col min="14862" max="14862" width="24" style="700" customWidth="1"/>
    <col min="14863" max="14863" width="13.140625" style="700" customWidth="1"/>
    <col min="14864" max="14864" width="13" style="700" customWidth="1"/>
    <col min="14865" max="14865" width="10.42578125" style="700" customWidth="1"/>
    <col min="14866" max="15101" width="9.140625" style="700"/>
    <col min="15102" max="15102" width="5" style="700" customWidth="1"/>
    <col min="15103" max="15103" width="17.7109375" style="700" customWidth="1"/>
    <col min="15104" max="15104" width="13.85546875" style="700" customWidth="1"/>
    <col min="15105" max="15105" width="13.140625" style="700" customWidth="1"/>
    <col min="15106" max="15106" width="12.28515625" style="700" customWidth="1"/>
    <col min="15107" max="15107" width="3" style="700" customWidth="1"/>
    <col min="15108" max="15108" width="20.28515625" style="700" customWidth="1"/>
    <col min="15109" max="15109" width="12.5703125" style="700" customWidth="1"/>
    <col min="15110" max="15110" width="11.7109375" style="700" customWidth="1"/>
    <col min="15111" max="15111" width="9.140625" style="700"/>
    <col min="15112" max="15112" width="2.85546875" style="700" customWidth="1"/>
    <col min="15113" max="15113" width="18.5703125" style="700" customWidth="1"/>
    <col min="15114" max="15114" width="14.42578125" style="700" customWidth="1"/>
    <col min="15115" max="15115" width="13.7109375" style="700" customWidth="1"/>
    <col min="15116" max="15116" width="10.140625" style="700" customWidth="1"/>
    <col min="15117" max="15117" width="4.42578125" style="700" customWidth="1"/>
    <col min="15118" max="15118" width="24" style="700" customWidth="1"/>
    <col min="15119" max="15119" width="13.140625" style="700" customWidth="1"/>
    <col min="15120" max="15120" width="13" style="700" customWidth="1"/>
    <col min="15121" max="15121" width="10.42578125" style="700" customWidth="1"/>
    <col min="15122" max="15357" width="9.140625" style="700"/>
    <col min="15358" max="15358" width="5" style="700" customWidth="1"/>
    <col min="15359" max="15359" width="17.7109375" style="700" customWidth="1"/>
    <col min="15360" max="15360" width="13.85546875" style="700" customWidth="1"/>
    <col min="15361" max="15361" width="13.140625" style="700" customWidth="1"/>
    <col min="15362" max="15362" width="12.28515625" style="700" customWidth="1"/>
    <col min="15363" max="15363" width="3" style="700" customWidth="1"/>
    <col min="15364" max="15364" width="20.28515625" style="700" customWidth="1"/>
    <col min="15365" max="15365" width="12.5703125" style="700" customWidth="1"/>
    <col min="15366" max="15366" width="11.7109375" style="700" customWidth="1"/>
    <col min="15367" max="15367" width="9.140625" style="700"/>
    <col min="15368" max="15368" width="2.85546875" style="700" customWidth="1"/>
    <col min="15369" max="15369" width="18.5703125" style="700" customWidth="1"/>
    <col min="15370" max="15370" width="14.42578125" style="700" customWidth="1"/>
    <col min="15371" max="15371" width="13.7109375" style="700" customWidth="1"/>
    <col min="15372" max="15372" width="10.140625" style="700" customWidth="1"/>
    <col min="15373" max="15373" width="4.42578125" style="700" customWidth="1"/>
    <col min="15374" max="15374" width="24" style="700" customWidth="1"/>
    <col min="15375" max="15375" width="13.140625" style="700" customWidth="1"/>
    <col min="15376" max="15376" width="13" style="700" customWidth="1"/>
    <col min="15377" max="15377" width="10.42578125" style="700" customWidth="1"/>
    <col min="15378" max="15613" width="9.140625" style="700"/>
    <col min="15614" max="15614" width="5" style="700" customWidth="1"/>
    <col min="15615" max="15615" width="17.7109375" style="700" customWidth="1"/>
    <col min="15616" max="15616" width="13.85546875" style="700" customWidth="1"/>
    <col min="15617" max="15617" width="13.140625" style="700" customWidth="1"/>
    <col min="15618" max="15618" width="12.28515625" style="700" customWidth="1"/>
    <col min="15619" max="15619" width="3" style="700" customWidth="1"/>
    <col min="15620" max="15620" width="20.28515625" style="700" customWidth="1"/>
    <col min="15621" max="15621" width="12.5703125" style="700" customWidth="1"/>
    <col min="15622" max="15622" width="11.7109375" style="700" customWidth="1"/>
    <col min="15623" max="15623" width="9.140625" style="700"/>
    <col min="15624" max="15624" width="2.85546875" style="700" customWidth="1"/>
    <col min="15625" max="15625" width="18.5703125" style="700" customWidth="1"/>
    <col min="15626" max="15626" width="14.42578125" style="700" customWidth="1"/>
    <col min="15627" max="15627" width="13.7109375" style="700" customWidth="1"/>
    <col min="15628" max="15628" width="10.140625" style="700" customWidth="1"/>
    <col min="15629" max="15629" width="4.42578125" style="700" customWidth="1"/>
    <col min="15630" max="15630" width="24" style="700" customWidth="1"/>
    <col min="15631" max="15631" width="13.140625" style="700" customWidth="1"/>
    <col min="15632" max="15632" width="13" style="700" customWidth="1"/>
    <col min="15633" max="15633" width="10.42578125" style="700" customWidth="1"/>
    <col min="15634" max="15869" width="9.140625" style="700"/>
    <col min="15870" max="15870" width="5" style="700" customWidth="1"/>
    <col min="15871" max="15871" width="17.7109375" style="700" customWidth="1"/>
    <col min="15872" max="15872" width="13.85546875" style="700" customWidth="1"/>
    <col min="15873" max="15873" width="13.140625" style="700" customWidth="1"/>
    <col min="15874" max="15874" width="12.28515625" style="700" customWidth="1"/>
    <col min="15875" max="15875" width="3" style="700" customWidth="1"/>
    <col min="15876" max="15876" width="20.28515625" style="700" customWidth="1"/>
    <col min="15877" max="15877" width="12.5703125" style="700" customWidth="1"/>
    <col min="15878" max="15878" width="11.7109375" style="700" customWidth="1"/>
    <col min="15879" max="15879" width="9.140625" style="700"/>
    <col min="15880" max="15880" width="2.85546875" style="700" customWidth="1"/>
    <col min="15881" max="15881" width="18.5703125" style="700" customWidth="1"/>
    <col min="15882" max="15882" width="14.42578125" style="700" customWidth="1"/>
    <col min="15883" max="15883" width="13.7109375" style="700" customWidth="1"/>
    <col min="15884" max="15884" width="10.140625" style="700" customWidth="1"/>
    <col min="15885" max="15885" width="4.42578125" style="700" customWidth="1"/>
    <col min="15886" max="15886" width="24" style="700" customWidth="1"/>
    <col min="15887" max="15887" width="13.140625" style="700" customWidth="1"/>
    <col min="15888" max="15888" width="13" style="700" customWidth="1"/>
    <col min="15889" max="15889" width="10.42578125" style="700" customWidth="1"/>
    <col min="15890" max="16125" width="9.140625" style="700"/>
    <col min="16126" max="16126" width="5" style="700" customWidth="1"/>
    <col min="16127" max="16127" width="17.7109375" style="700" customWidth="1"/>
    <col min="16128" max="16128" width="13.85546875" style="700" customWidth="1"/>
    <col min="16129" max="16129" width="13.140625" style="700" customWidth="1"/>
    <col min="16130" max="16130" width="12.28515625" style="700" customWidth="1"/>
    <col min="16131" max="16131" width="3" style="700" customWidth="1"/>
    <col min="16132" max="16132" width="20.28515625" style="700" customWidth="1"/>
    <col min="16133" max="16133" width="12.5703125" style="700" customWidth="1"/>
    <col min="16134" max="16134" width="11.7109375" style="700" customWidth="1"/>
    <col min="16135" max="16135" width="9.140625" style="700"/>
    <col min="16136" max="16136" width="2.85546875" style="700" customWidth="1"/>
    <col min="16137" max="16137" width="18.5703125" style="700" customWidth="1"/>
    <col min="16138" max="16138" width="14.42578125" style="700" customWidth="1"/>
    <col min="16139" max="16139" width="13.7109375" style="700" customWidth="1"/>
    <col min="16140" max="16140" width="10.140625" style="700" customWidth="1"/>
    <col min="16141" max="16141" width="4.42578125" style="700" customWidth="1"/>
    <col min="16142" max="16142" width="24" style="700" customWidth="1"/>
    <col min="16143" max="16143" width="13.140625" style="700" customWidth="1"/>
    <col min="16144" max="16144" width="13" style="700" customWidth="1"/>
    <col min="16145" max="16145" width="10.42578125" style="700" customWidth="1"/>
    <col min="16146" max="16384" width="9.140625" style="700"/>
  </cols>
  <sheetData>
    <row r="1" spans="2:25" ht="18.75">
      <c r="B1" s="608" t="s">
        <v>307</v>
      </c>
    </row>
    <row r="2" spans="2:25" ht="28.5" customHeight="1">
      <c r="B2" s="1232" t="s">
        <v>370</v>
      </c>
      <c r="C2" s="1232"/>
      <c r="D2" s="1232"/>
      <c r="E2" s="1232"/>
      <c r="F2" s="1232"/>
      <c r="G2" s="1232"/>
      <c r="H2" s="1232"/>
      <c r="I2" s="1232"/>
      <c r="J2" s="1232"/>
      <c r="K2" s="1232"/>
      <c r="L2" s="1232"/>
      <c r="M2" s="1232"/>
      <c r="N2" s="1232"/>
      <c r="O2" s="1232"/>
      <c r="P2" s="1232"/>
      <c r="Q2" s="1232"/>
      <c r="R2" s="1232"/>
      <c r="S2" s="1232"/>
      <c r="T2" s="1232"/>
      <c r="U2" s="1232"/>
      <c r="V2" s="1232"/>
      <c r="W2" s="1232"/>
      <c r="X2" s="1232"/>
      <c r="Y2" s="1232"/>
    </row>
    <row r="3" spans="2:25" ht="15.75" customHeight="1">
      <c r="B3" s="1233" t="s">
        <v>371</v>
      </c>
      <c r="C3" s="1233"/>
      <c r="D3" s="1233"/>
      <c r="E3" s="1233"/>
      <c r="F3" s="1233"/>
      <c r="G3" s="1233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34" t="s">
        <v>182</v>
      </c>
      <c r="D5" s="1234"/>
      <c r="E5" s="613"/>
      <c r="F5" s="613"/>
      <c r="G5" s="612" t="s">
        <v>183</v>
      </c>
      <c r="H5" s="614" t="s">
        <v>184</v>
      </c>
      <c r="I5" s="1047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8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1" t="s">
        <v>204</v>
      </c>
      <c r="C7" s="624">
        <v>550.67200000000003</v>
      </c>
      <c r="D7" s="624">
        <v>402</v>
      </c>
      <c r="E7" s="957">
        <v>2.4143809189757981</v>
      </c>
      <c r="G7" s="627" t="s">
        <v>196</v>
      </c>
      <c r="H7" s="628">
        <v>163.51900000000001</v>
      </c>
      <c r="I7" s="628">
        <v>597</v>
      </c>
      <c r="J7" s="925">
        <v>3.7226016482265627</v>
      </c>
      <c r="L7" s="801" t="s">
        <v>194</v>
      </c>
      <c r="M7" s="624">
        <v>21639.555</v>
      </c>
      <c r="N7" s="624">
        <v>5813.585</v>
      </c>
      <c r="O7" s="786">
        <v>3.7222393755316214</v>
      </c>
      <c r="Q7" s="625" t="s">
        <v>197</v>
      </c>
      <c r="R7" s="626">
        <v>5274.2510000000002</v>
      </c>
      <c r="S7" s="626">
        <v>783.54200000000003</v>
      </c>
      <c r="T7" s="688">
        <v>6.7312932810238637</v>
      </c>
    </row>
    <row r="8" spans="2:25" ht="15.75">
      <c r="B8" s="627" t="s">
        <v>194</v>
      </c>
      <c r="C8" s="628">
        <v>495.19400000000002</v>
      </c>
      <c r="D8" s="628">
        <v>1051</v>
      </c>
      <c r="E8" s="925">
        <v>2.9884972842486426</v>
      </c>
      <c r="G8" s="627" t="s">
        <v>214</v>
      </c>
      <c r="H8" s="628">
        <v>161.506</v>
      </c>
      <c r="I8" s="628">
        <v>691</v>
      </c>
      <c r="J8" s="925">
        <v>3.0929773828446674</v>
      </c>
      <c r="L8" s="627" t="s">
        <v>197</v>
      </c>
      <c r="M8" s="628">
        <v>10654.718999999999</v>
      </c>
      <c r="N8" s="628">
        <v>2939.7750000000001</v>
      </c>
      <c r="O8" s="686">
        <v>3.6243314539378009</v>
      </c>
      <c r="Q8" s="627" t="s">
        <v>195</v>
      </c>
      <c r="R8" s="628">
        <v>5227.5339999999997</v>
      </c>
      <c r="S8" s="628">
        <v>1436.528</v>
      </c>
      <c r="T8" s="688">
        <v>3.6390059922256994</v>
      </c>
    </row>
    <row r="9" spans="2:25" ht="16.5" thickBot="1">
      <c r="B9" s="627" t="s">
        <v>206</v>
      </c>
      <c r="C9" s="628">
        <v>495.13799999999998</v>
      </c>
      <c r="D9" s="628">
        <v>332</v>
      </c>
      <c r="E9" s="925">
        <v>2.3156225885654158</v>
      </c>
      <c r="G9" s="627" t="s">
        <v>194</v>
      </c>
      <c r="H9" s="628">
        <v>118.179</v>
      </c>
      <c r="I9" s="628">
        <v>562</v>
      </c>
      <c r="J9" s="925">
        <v>3.4372345994997384</v>
      </c>
      <c r="L9" s="627" t="s">
        <v>196</v>
      </c>
      <c r="M9" s="628">
        <v>6750.259</v>
      </c>
      <c r="N9" s="628">
        <v>1706.692</v>
      </c>
      <c r="O9" s="686">
        <v>3.9551711732403971</v>
      </c>
      <c r="Q9" s="627" t="s">
        <v>201</v>
      </c>
      <c r="R9" s="628">
        <v>4316.1049999999996</v>
      </c>
      <c r="S9" s="628">
        <v>800.27300000000002</v>
      </c>
      <c r="T9" s="688">
        <v>5.3932907895180762</v>
      </c>
    </row>
    <row r="10" spans="2:25" ht="16.5" thickBot="1">
      <c r="B10" s="627" t="s">
        <v>202</v>
      </c>
      <c r="C10" s="628">
        <v>298.45999999999998</v>
      </c>
      <c r="D10" s="628">
        <v>445</v>
      </c>
      <c r="E10" s="925">
        <v>2.5966365352659189</v>
      </c>
      <c r="G10" s="1051" t="s">
        <v>328</v>
      </c>
      <c r="H10" s="631">
        <v>447.16399999999999</v>
      </c>
      <c r="I10" s="631">
        <v>1877</v>
      </c>
      <c r="J10" s="1052">
        <v>3.3856567430873135</v>
      </c>
      <c r="L10" s="627" t="s">
        <v>311</v>
      </c>
      <c r="M10" s="628">
        <v>5244.4309999999996</v>
      </c>
      <c r="N10" s="628">
        <v>1710.789</v>
      </c>
      <c r="O10" s="686">
        <v>3.0655042790197973</v>
      </c>
      <c r="Q10" s="627" t="s">
        <v>198</v>
      </c>
      <c r="R10" s="628">
        <v>1913.152</v>
      </c>
      <c r="S10" s="628">
        <v>443.02699999999999</v>
      </c>
      <c r="T10" s="688">
        <v>4.3183643434824512</v>
      </c>
    </row>
    <row r="11" spans="2:25" ht="15.75">
      <c r="B11" s="627" t="s">
        <v>196</v>
      </c>
      <c r="C11" s="628">
        <v>163.51900000000001</v>
      </c>
      <c r="D11" s="628">
        <v>597</v>
      </c>
      <c r="E11" s="925">
        <v>3.7226016482265627</v>
      </c>
      <c r="L11" s="627" t="s">
        <v>203</v>
      </c>
      <c r="M11" s="628">
        <v>4294.107</v>
      </c>
      <c r="N11" s="628">
        <v>900.37</v>
      </c>
      <c r="O11" s="686">
        <v>4.769269300398725</v>
      </c>
      <c r="Q11" s="627" t="s">
        <v>196</v>
      </c>
      <c r="R11" s="628">
        <v>1832.55</v>
      </c>
      <c r="S11" s="628">
        <v>511.78300000000002</v>
      </c>
      <c r="T11" s="688">
        <v>3.5807168272490486</v>
      </c>
    </row>
    <row r="12" spans="2:25" ht="16.5" thickBot="1">
      <c r="B12" s="1049" t="s">
        <v>214</v>
      </c>
      <c r="C12" s="1050">
        <v>161.506</v>
      </c>
      <c r="D12" s="1050">
        <v>691</v>
      </c>
      <c r="E12" s="1060">
        <v>3.0929773828446674</v>
      </c>
      <c r="I12" s="700"/>
      <c r="L12" s="627" t="s">
        <v>201</v>
      </c>
      <c r="M12" s="628">
        <v>4114.0870000000004</v>
      </c>
      <c r="N12" s="628">
        <v>657.60599999999999</v>
      </c>
      <c r="O12" s="686">
        <v>6.2561579425978477</v>
      </c>
      <c r="Q12" s="627" t="s">
        <v>311</v>
      </c>
      <c r="R12" s="628">
        <v>1508.153</v>
      </c>
      <c r="S12" s="628">
        <v>543.22400000000005</v>
      </c>
      <c r="T12" s="688">
        <v>2.7763003843718241</v>
      </c>
    </row>
    <row r="13" spans="2:25" ht="16.5" thickBot="1">
      <c r="B13" s="1051" t="s">
        <v>328</v>
      </c>
      <c r="C13" s="631">
        <v>2320.982</v>
      </c>
      <c r="D13" s="631">
        <v>3860</v>
      </c>
      <c r="E13" s="1052">
        <v>2.6479479670196153</v>
      </c>
      <c r="L13" s="627" t="s">
        <v>199</v>
      </c>
      <c r="M13" s="628">
        <v>2998.9549999999999</v>
      </c>
      <c r="N13" s="628">
        <v>747.17700000000002</v>
      </c>
      <c r="O13" s="686">
        <v>4.013714287243852</v>
      </c>
      <c r="Q13" s="627" t="s">
        <v>203</v>
      </c>
      <c r="R13" s="628">
        <v>1365.1959999999999</v>
      </c>
      <c r="S13" s="628">
        <v>397.36599999999999</v>
      </c>
      <c r="T13" s="688">
        <v>3.4356135149962501</v>
      </c>
    </row>
    <row r="14" spans="2:25" ht="15.75">
      <c r="B14" s="122"/>
      <c r="C14" s="122"/>
      <c r="D14" s="122"/>
      <c r="E14" s="122"/>
      <c r="G14" s="701"/>
      <c r="L14" s="627" t="s">
        <v>204</v>
      </c>
      <c r="M14" s="628">
        <v>2737.6219999999998</v>
      </c>
      <c r="N14" s="628">
        <v>765.29300000000001</v>
      </c>
      <c r="O14" s="686">
        <v>3.577220750745139</v>
      </c>
      <c r="Q14" s="627" t="s">
        <v>215</v>
      </c>
      <c r="R14" s="628">
        <v>1020.427</v>
      </c>
      <c r="S14" s="628">
        <v>249.11799999999999</v>
      </c>
      <c r="T14" s="688">
        <v>4.0961592498334127</v>
      </c>
    </row>
    <row r="15" spans="2:25" ht="15.75">
      <c r="B15" s="122"/>
      <c r="C15" s="122"/>
      <c r="D15" s="122"/>
      <c r="E15" s="122"/>
      <c r="F15" s="895"/>
      <c r="G15" s="701"/>
      <c r="L15" s="627" t="s">
        <v>211</v>
      </c>
      <c r="M15" s="628">
        <v>2652.4850000000001</v>
      </c>
      <c r="N15" s="628">
        <v>743.24800000000005</v>
      </c>
      <c r="O15" s="686">
        <v>3.5687751598389772</v>
      </c>
      <c r="Q15" s="627" t="s">
        <v>204</v>
      </c>
      <c r="R15" s="628">
        <v>793.96900000000005</v>
      </c>
      <c r="S15" s="628">
        <v>214.255</v>
      </c>
      <c r="T15" s="688">
        <v>3.7057198198408443</v>
      </c>
    </row>
    <row r="16" spans="2:25" ht="15.75">
      <c r="F16" s="701"/>
      <c r="L16" s="627" t="s">
        <v>195</v>
      </c>
      <c r="M16" s="628">
        <v>2048.6239999999998</v>
      </c>
      <c r="N16" s="628">
        <v>449.03500000000003</v>
      </c>
      <c r="O16" s="686">
        <v>4.5622813366441362</v>
      </c>
      <c r="Q16" s="627" t="s">
        <v>194</v>
      </c>
      <c r="R16" s="628">
        <v>627.01700000000005</v>
      </c>
      <c r="S16" s="628">
        <v>194.33600000000001</v>
      </c>
      <c r="T16" s="688">
        <v>3.2264582990284869</v>
      </c>
    </row>
    <row r="17" spans="2:20" ht="15.75">
      <c r="B17" s="122"/>
      <c r="C17" s="122"/>
      <c r="D17" s="122"/>
      <c r="E17" s="122"/>
      <c r="L17" s="627" t="s">
        <v>210</v>
      </c>
      <c r="M17" s="628">
        <v>1877.8869999999999</v>
      </c>
      <c r="N17" s="628">
        <v>324.81400000000002</v>
      </c>
      <c r="O17" s="686">
        <v>5.7814225987796091</v>
      </c>
      <c r="Q17" s="627" t="s">
        <v>211</v>
      </c>
      <c r="R17" s="628">
        <v>610.55600000000004</v>
      </c>
      <c r="S17" s="628">
        <v>202.471</v>
      </c>
      <c r="T17" s="688">
        <v>3.0155232107314136</v>
      </c>
    </row>
    <row r="18" spans="2:20" ht="15.75">
      <c r="B18" s="122"/>
      <c r="C18" s="122"/>
      <c r="D18" s="122"/>
      <c r="E18" s="122"/>
      <c r="L18" s="627" t="s">
        <v>209</v>
      </c>
      <c r="M18" s="628">
        <v>1591.9290000000001</v>
      </c>
      <c r="N18" s="628">
        <v>386.62099999999998</v>
      </c>
      <c r="O18" s="686">
        <v>4.1175440547719866</v>
      </c>
      <c r="Q18" s="627" t="s">
        <v>199</v>
      </c>
      <c r="R18" s="628">
        <v>589.22699999999998</v>
      </c>
      <c r="S18" s="628">
        <v>285.45499999999998</v>
      </c>
      <c r="T18" s="688">
        <v>2.0641677322169869</v>
      </c>
    </row>
    <row r="19" spans="2:20" ht="15.75">
      <c r="B19" s="122"/>
      <c r="C19" s="122"/>
      <c r="D19" s="122"/>
      <c r="E19" s="122"/>
      <c r="L19" s="627" t="s">
        <v>208</v>
      </c>
      <c r="M19" s="628">
        <v>1373.82</v>
      </c>
      <c r="N19" s="628">
        <v>451.00599999999997</v>
      </c>
      <c r="O19" s="686">
        <v>3.046123554897274</v>
      </c>
      <c r="Q19" s="627" t="s">
        <v>205</v>
      </c>
      <c r="R19" s="628">
        <v>544.98599999999999</v>
      </c>
      <c r="S19" s="628">
        <v>311.07299999999998</v>
      </c>
      <c r="T19" s="688">
        <v>1.7519553288134939</v>
      </c>
    </row>
    <row r="20" spans="2:20" ht="15.75">
      <c r="B20" s="122"/>
      <c r="C20" s="122"/>
      <c r="D20" s="122"/>
      <c r="E20" s="122"/>
      <c r="L20" s="627" t="s">
        <v>198</v>
      </c>
      <c r="M20" s="628">
        <v>1193.5039999999999</v>
      </c>
      <c r="N20" s="628">
        <v>268.23200000000003</v>
      </c>
      <c r="O20" s="686">
        <v>4.4495213099108231</v>
      </c>
      <c r="Q20" s="627" t="s">
        <v>214</v>
      </c>
      <c r="R20" s="628">
        <v>473.89800000000002</v>
      </c>
      <c r="S20" s="628">
        <v>164.15600000000001</v>
      </c>
      <c r="T20" s="688">
        <v>2.8868758985355396</v>
      </c>
    </row>
    <row r="21" spans="2:20" ht="15.75">
      <c r="B21" s="122"/>
      <c r="C21" s="122"/>
      <c r="D21" s="122"/>
      <c r="E21" s="122"/>
      <c r="L21" s="627" t="s">
        <v>212</v>
      </c>
      <c r="M21" s="628">
        <v>1027.2860000000001</v>
      </c>
      <c r="N21" s="628">
        <v>285.71499999999997</v>
      </c>
      <c r="O21" s="686">
        <v>3.5954920112699722</v>
      </c>
      <c r="Q21" s="627" t="s">
        <v>216</v>
      </c>
      <c r="R21" s="628">
        <v>429.15300000000002</v>
      </c>
      <c r="S21" s="628">
        <v>166.483</v>
      </c>
      <c r="T21" s="688">
        <v>2.5777586900764642</v>
      </c>
    </row>
    <row r="22" spans="2:20" ht="15.75">
      <c r="B22" s="122"/>
      <c r="C22" s="122"/>
      <c r="D22" s="122"/>
      <c r="E22" s="122"/>
      <c r="F22" s="122"/>
      <c r="G22" s="122"/>
      <c r="H22" s="122"/>
      <c r="I22" s="1053"/>
      <c r="L22" s="627" t="s">
        <v>202</v>
      </c>
      <c r="M22" s="628">
        <v>1010.917</v>
      </c>
      <c r="N22" s="628">
        <v>373.63099999999997</v>
      </c>
      <c r="O22" s="686">
        <v>2.7056561152581025</v>
      </c>
      <c r="Q22" s="627" t="s">
        <v>207</v>
      </c>
      <c r="R22" s="628">
        <v>409.69499999999999</v>
      </c>
      <c r="S22" s="628">
        <v>138.374</v>
      </c>
      <c r="T22" s="688">
        <v>2.9607802043736542</v>
      </c>
    </row>
    <row r="23" spans="2:20" ht="15.75">
      <c r="B23" s="122"/>
      <c r="C23" s="122"/>
      <c r="D23" s="122"/>
      <c r="E23" s="122"/>
      <c r="F23" s="122"/>
      <c r="G23" s="122"/>
      <c r="H23" s="122"/>
      <c r="I23" s="1053"/>
      <c r="L23" s="627" t="s">
        <v>345</v>
      </c>
      <c r="M23" s="628">
        <v>890.54399999999998</v>
      </c>
      <c r="N23" s="628">
        <v>274.92099999999999</v>
      </c>
      <c r="O23" s="686">
        <v>3.2392723727907291</v>
      </c>
      <c r="Q23" s="627" t="s">
        <v>208</v>
      </c>
      <c r="R23" s="628">
        <v>326.66500000000002</v>
      </c>
      <c r="S23" s="628">
        <v>84.963999999999999</v>
      </c>
      <c r="T23" s="688">
        <v>3.8447460100748554</v>
      </c>
    </row>
    <row r="24" spans="2:20" ht="15.75">
      <c r="F24" s="122"/>
      <c r="G24" s="122"/>
      <c r="H24" s="122"/>
      <c r="I24" s="1053"/>
      <c r="L24" s="627" t="s">
        <v>200</v>
      </c>
      <c r="M24" s="628">
        <v>689.25</v>
      </c>
      <c r="N24" s="628">
        <v>276.24400000000003</v>
      </c>
      <c r="O24" s="686">
        <v>2.495076816148043</v>
      </c>
      <c r="Q24" s="627" t="s">
        <v>349</v>
      </c>
      <c r="R24" s="628">
        <v>308.75400000000002</v>
      </c>
      <c r="S24" s="628">
        <v>83.043999999999997</v>
      </c>
      <c r="T24" s="688">
        <v>3.7179567458214926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053"/>
      <c r="J25" s="122"/>
      <c r="L25" s="627" t="s">
        <v>207</v>
      </c>
      <c r="M25" s="628">
        <v>387.18</v>
      </c>
      <c r="N25" s="628">
        <v>89.337000000000003</v>
      </c>
      <c r="O25" s="686">
        <v>4.3339265925652306</v>
      </c>
      <c r="Q25" s="627" t="s">
        <v>372</v>
      </c>
      <c r="R25" s="628">
        <v>252.471</v>
      </c>
      <c r="S25" s="628">
        <v>73.765000000000001</v>
      </c>
      <c r="T25" s="688">
        <v>3.4226394631600354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053"/>
      <c r="J26" s="122"/>
      <c r="K26" s="122"/>
      <c r="L26" s="627" t="s">
        <v>356</v>
      </c>
      <c r="M26" s="628">
        <v>363.72</v>
      </c>
      <c r="N26" s="628">
        <v>124.45099999999999</v>
      </c>
      <c r="O26" s="686">
        <v>2.9225960418156549</v>
      </c>
      <c r="Q26" s="1051" t="s">
        <v>328</v>
      </c>
      <c r="R26" s="631">
        <v>30027.486000000001</v>
      </c>
      <c r="S26" s="631">
        <v>7851.4790000000003</v>
      </c>
      <c r="T26" s="785">
        <v>3.8244368990861468</v>
      </c>
    </row>
    <row r="27" spans="2:20" ht="16.5" thickBot="1">
      <c r="B27" s="122"/>
      <c r="C27" s="122"/>
      <c r="D27" s="122"/>
      <c r="E27" s="122"/>
      <c r="F27" s="122"/>
      <c r="G27" s="122"/>
      <c r="H27" s="122"/>
      <c r="I27" s="1053"/>
      <c r="J27" s="122"/>
      <c r="K27" s="122"/>
      <c r="L27" s="1051" t="s">
        <v>328</v>
      </c>
      <c r="M27" s="631">
        <v>75128.796000000002</v>
      </c>
      <c r="N27" s="631">
        <v>19667.098999999998</v>
      </c>
      <c r="O27" s="785">
        <v>3.8200242953981167</v>
      </c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061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061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061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061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061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061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061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61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61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061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061"/>
      <c r="J38" s="122"/>
      <c r="K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061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061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061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061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061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061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061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061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061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061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061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061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061"/>
      <c r="J51" s="122"/>
      <c r="K51" s="122"/>
      <c r="L51" s="122"/>
    </row>
    <row r="52" spans="2:20">
      <c r="B52" s="122"/>
      <c r="C52" s="122"/>
      <c r="D52" s="122"/>
      <c r="E52" s="122"/>
      <c r="F52" s="122"/>
      <c r="G52" s="122"/>
      <c r="H52" s="122"/>
      <c r="I52" s="1061"/>
      <c r="J52" s="122"/>
      <c r="K52" s="122"/>
      <c r="L52" s="122"/>
    </row>
    <row r="53" spans="2:20">
      <c r="B53" s="122"/>
      <c r="C53" s="122"/>
      <c r="D53" s="122"/>
      <c r="E53" s="122"/>
      <c r="F53" s="122"/>
      <c r="G53" s="122"/>
      <c r="H53" s="122"/>
      <c r="I53" s="1061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061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061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061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061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061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061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061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061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061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061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061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061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061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061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061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061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061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061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061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J35" sqref="J35"/>
    </sheetView>
  </sheetViews>
  <sheetFormatPr defaultRowHeight="12.75"/>
  <cols>
    <col min="1" max="1" width="4" style="700" customWidth="1"/>
    <col min="2" max="2" width="16.85546875" style="700" customWidth="1"/>
    <col min="3" max="3" width="12.28515625" style="700" bestFit="1" customWidth="1"/>
    <col min="4" max="4" width="10.140625" style="700" customWidth="1"/>
    <col min="5" max="5" width="9.140625" style="700"/>
    <col min="6" max="6" width="6" style="700" customWidth="1"/>
    <col min="7" max="7" width="13.28515625" style="700" customWidth="1"/>
    <col min="8" max="8" width="11.28515625" style="700" customWidth="1"/>
    <col min="9" max="9" width="10.42578125" style="700" customWidth="1"/>
    <col min="10" max="10" width="9.140625" style="700"/>
    <col min="11" max="11" width="3.5703125" style="700" customWidth="1"/>
    <col min="12" max="12" width="18" style="700" customWidth="1"/>
    <col min="13" max="13" width="11.7109375" style="700" customWidth="1"/>
    <col min="14" max="14" width="12.28515625" style="700" customWidth="1"/>
    <col min="15" max="15" width="10.42578125" style="700" customWidth="1"/>
    <col min="16" max="16" width="3.85546875" style="700" customWidth="1"/>
    <col min="17" max="17" width="31.85546875" style="700" customWidth="1"/>
    <col min="18" max="18" width="11.28515625" style="700" customWidth="1"/>
    <col min="19" max="19" width="10.28515625" style="700" customWidth="1"/>
    <col min="20" max="20" width="10" style="700" customWidth="1"/>
    <col min="21" max="256" width="9.140625" style="700"/>
    <col min="257" max="257" width="4" style="700" customWidth="1"/>
    <col min="258" max="258" width="15.140625" style="700" customWidth="1"/>
    <col min="259" max="259" width="13.85546875" style="700" customWidth="1"/>
    <col min="260" max="260" width="10.140625" style="700" customWidth="1"/>
    <col min="261" max="261" width="9.140625" style="700"/>
    <col min="262" max="262" width="3.42578125" style="700" customWidth="1"/>
    <col min="263" max="263" width="19.5703125" style="700" customWidth="1"/>
    <col min="264" max="264" width="12.28515625" style="700" customWidth="1"/>
    <col min="265" max="265" width="10.42578125" style="700" customWidth="1"/>
    <col min="266" max="266" width="9.140625" style="700"/>
    <col min="267" max="267" width="3.5703125" style="700" customWidth="1"/>
    <col min="268" max="268" width="16.42578125" style="700" customWidth="1"/>
    <col min="269" max="269" width="11.7109375" style="700" customWidth="1"/>
    <col min="270" max="270" width="10.140625" style="700" customWidth="1"/>
    <col min="271" max="271" width="15.85546875" style="700" customWidth="1"/>
    <col min="272" max="272" width="3.85546875" style="700" customWidth="1"/>
    <col min="273" max="273" width="16.42578125" style="700" customWidth="1"/>
    <col min="274" max="274" width="11.28515625" style="700" customWidth="1"/>
    <col min="275" max="275" width="10.28515625" style="700" customWidth="1"/>
    <col min="276" max="276" width="10" style="700" customWidth="1"/>
    <col min="277" max="512" width="9.140625" style="700"/>
    <col min="513" max="513" width="4" style="700" customWidth="1"/>
    <col min="514" max="514" width="15.140625" style="700" customWidth="1"/>
    <col min="515" max="515" width="13.85546875" style="700" customWidth="1"/>
    <col min="516" max="516" width="10.140625" style="700" customWidth="1"/>
    <col min="517" max="517" width="9.140625" style="700"/>
    <col min="518" max="518" width="3.42578125" style="700" customWidth="1"/>
    <col min="519" max="519" width="19.5703125" style="700" customWidth="1"/>
    <col min="520" max="520" width="12.28515625" style="700" customWidth="1"/>
    <col min="521" max="521" width="10.42578125" style="700" customWidth="1"/>
    <col min="522" max="522" width="9.140625" style="700"/>
    <col min="523" max="523" width="3.5703125" style="700" customWidth="1"/>
    <col min="524" max="524" width="16.42578125" style="700" customWidth="1"/>
    <col min="525" max="525" width="11.7109375" style="700" customWidth="1"/>
    <col min="526" max="526" width="10.140625" style="700" customWidth="1"/>
    <col min="527" max="527" width="15.85546875" style="700" customWidth="1"/>
    <col min="528" max="528" width="3.85546875" style="700" customWidth="1"/>
    <col min="529" max="529" width="16.42578125" style="700" customWidth="1"/>
    <col min="530" max="530" width="11.28515625" style="700" customWidth="1"/>
    <col min="531" max="531" width="10.28515625" style="700" customWidth="1"/>
    <col min="532" max="532" width="10" style="700" customWidth="1"/>
    <col min="533" max="768" width="9.140625" style="700"/>
    <col min="769" max="769" width="4" style="700" customWidth="1"/>
    <col min="770" max="770" width="15.140625" style="700" customWidth="1"/>
    <col min="771" max="771" width="13.85546875" style="700" customWidth="1"/>
    <col min="772" max="772" width="10.140625" style="700" customWidth="1"/>
    <col min="773" max="773" width="9.140625" style="700"/>
    <col min="774" max="774" width="3.42578125" style="700" customWidth="1"/>
    <col min="775" max="775" width="19.5703125" style="700" customWidth="1"/>
    <col min="776" max="776" width="12.28515625" style="700" customWidth="1"/>
    <col min="777" max="777" width="10.42578125" style="700" customWidth="1"/>
    <col min="778" max="778" width="9.140625" style="700"/>
    <col min="779" max="779" width="3.5703125" style="700" customWidth="1"/>
    <col min="780" max="780" width="16.42578125" style="700" customWidth="1"/>
    <col min="781" max="781" width="11.7109375" style="700" customWidth="1"/>
    <col min="782" max="782" width="10.140625" style="700" customWidth="1"/>
    <col min="783" max="783" width="15.85546875" style="700" customWidth="1"/>
    <col min="784" max="784" width="3.85546875" style="700" customWidth="1"/>
    <col min="785" max="785" width="16.42578125" style="700" customWidth="1"/>
    <col min="786" max="786" width="11.28515625" style="700" customWidth="1"/>
    <col min="787" max="787" width="10.28515625" style="700" customWidth="1"/>
    <col min="788" max="788" width="10" style="700" customWidth="1"/>
    <col min="789" max="1024" width="9.140625" style="700"/>
    <col min="1025" max="1025" width="4" style="700" customWidth="1"/>
    <col min="1026" max="1026" width="15.140625" style="700" customWidth="1"/>
    <col min="1027" max="1027" width="13.85546875" style="700" customWidth="1"/>
    <col min="1028" max="1028" width="10.140625" style="700" customWidth="1"/>
    <col min="1029" max="1029" width="9.140625" style="700"/>
    <col min="1030" max="1030" width="3.42578125" style="700" customWidth="1"/>
    <col min="1031" max="1031" width="19.5703125" style="700" customWidth="1"/>
    <col min="1032" max="1032" width="12.28515625" style="700" customWidth="1"/>
    <col min="1033" max="1033" width="10.42578125" style="700" customWidth="1"/>
    <col min="1034" max="1034" width="9.140625" style="700"/>
    <col min="1035" max="1035" width="3.5703125" style="700" customWidth="1"/>
    <col min="1036" max="1036" width="16.42578125" style="700" customWidth="1"/>
    <col min="1037" max="1037" width="11.7109375" style="700" customWidth="1"/>
    <col min="1038" max="1038" width="10.140625" style="700" customWidth="1"/>
    <col min="1039" max="1039" width="15.85546875" style="700" customWidth="1"/>
    <col min="1040" max="1040" width="3.85546875" style="700" customWidth="1"/>
    <col min="1041" max="1041" width="16.42578125" style="700" customWidth="1"/>
    <col min="1042" max="1042" width="11.28515625" style="700" customWidth="1"/>
    <col min="1043" max="1043" width="10.28515625" style="700" customWidth="1"/>
    <col min="1044" max="1044" width="10" style="700" customWidth="1"/>
    <col min="1045" max="1280" width="9.140625" style="700"/>
    <col min="1281" max="1281" width="4" style="700" customWidth="1"/>
    <col min="1282" max="1282" width="15.140625" style="700" customWidth="1"/>
    <col min="1283" max="1283" width="13.85546875" style="700" customWidth="1"/>
    <col min="1284" max="1284" width="10.140625" style="700" customWidth="1"/>
    <col min="1285" max="1285" width="9.140625" style="700"/>
    <col min="1286" max="1286" width="3.42578125" style="700" customWidth="1"/>
    <col min="1287" max="1287" width="19.5703125" style="700" customWidth="1"/>
    <col min="1288" max="1288" width="12.28515625" style="700" customWidth="1"/>
    <col min="1289" max="1289" width="10.42578125" style="700" customWidth="1"/>
    <col min="1290" max="1290" width="9.140625" style="700"/>
    <col min="1291" max="1291" width="3.5703125" style="700" customWidth="1"/>
    <col min="1292" max="1292" width="16.42578125" style="700" customWidth="1"/>
    <col min="1293" max="1293" width="11.7109375" style="700" customWidth="1"/>
    <col min="1294" max="1294" width="10.140625" style="700" customWidth="1"/>
    <col min="1295" max="1295" width="15.85546875" style="700" customWidth="1"/>
    <col min="1296" max="1296" width="3.85546875" style="700" customWidth="1"/>
    <col min="1297" max="1297" width="16.42578125" style="700" customWidth="1"/>
    <col min="1298" max="1298" width="11.28515625" style="700" customWidth="1"/>
    <col min="1299" max="1299" width="10.28515625" style="700" customWidth="1"/>
    <col min="1300" max="1300" width="10" style="700" customWidth="1"/>
    <col min="1301" max="1536" width="9.140625" style="700"/>
    <col min="1537" max="1537" width="4" style="700" customWidth="1"/>
    <col min="1538" max="1538" width="15.140625" style="700" customWidth="1"/>
    <col min="1539" max="1539" width="13.85546875" style="700" customWidth="1"/>
    <col min="1540" max="1540" width="10.140625" style="700" customWidth="1"/>
    <col min="1541" max="1541" width="9.140625" style="700"/>
    <col min="1542" max="1542" width="3.42578125" style="700" customWidth="1"/>
    <col min="1543" max="1543" width="19.5703125" style="700" customWidth="1"/>
    <col min="1544" max="1544" width="12.28515625" style="700" customWidth="1"/>
    <col min="1545" max="1545" width="10.42578125" style="700" customWidth="1"/>
    <col min="1546" max="1546" width="9.140625" style="700"/>
    <col min="1547" max="1547" width="3.5703125" style="700" customWidth="1"/>
    <col min="1548" max="1548" width="16.42578125" style="700" customWidth="1"/>
    <col min="1549" max="1549" width="11.7109375" style="700" customWidth="1"/>
    <col min="1550" max="1550" width="10.140625" style="700" customWidth="1"/>
    <col min="1551" max="1551" width="15.85546875" style="700" customWidth="1"/>
    <col min="1552" max="1552" width="3.85546875" style="700" customWidth="1"/>
    <col min="1553" max="1553" width="16.42578125" style="700" customWidth="1"/>
    <col min="1554" max="1554" width="11.28515625" style="700" customWidth="1"/>
    <col min="1555" max="1555" width="10.28515625" style="700" customWidth="1"/>
    <col min="1556" max="1556" width="10" style="700" customWidth="1"/>
    <col min="1557" max="1792" width="9.140625" style="700"/>
    <col min="1793" max="1793" width="4" style="700" customWidth="1"/>
    <col min="1794" max="1794" width="15.140625" style="700" customWidth="1"/>
    <col min="1795" max="1795" width="13.85546875" style="700" customWidth="1"/>
    <col min="1796" max="1796" width="10.140625" style="700" customWidth="1"/>
    <col min="1797" max="1797" width="9.140625" style="700"/>
    <col min="1798" max="1798" width="3.42578125" style="700" customWidth="1"/>
    <col min="1799" max="1799" width="19.5703125" style="700" customWidth="1"/>
    <col min="1800" max="1800" width="12.28515625" style="700" customWidth="1"/>
    <col min="1801" max="1801" width="10.42578125" style="700" customWidth="1"/>
    <col min="1802" max="1802" width="9.140625" style="700"/>
    <col min="1803" max="1803" width="3.5703125" style="700" customWidth="1"/>
    <col min="1804" max="1804" width="16.42578125" style="700" customWidth="1"/>
    <col min="1805" max="1805" width="11.7109375" style="700" customWidth="1"/>
    <col min="1806" max="1806" width="10.140625" style="700" customWidth="1"/>
    <col min="1807" max="1807" width="15.85546875" style="700" customWidth="1"/>
    <col min="1808" max="1808" width="3.85546875" style="700" customWidth="1"/>
    <col min="1809" max="1809" width="16.42578125" style="700" customWidth="1"/>
    <col min="1810" max="1810" width="11.28515625" style="700" customWidth="1"/>
    <col min="1811" max="1811" width="10.28515625" style="700" customWidth="1"/>
    <col min="1812" max="1812" width="10" style="700" customWidth="1"/>
    <col min="1813" max="2048" width="9.140625" style="700"/>
    <col min="2049" max="2049" width="4" style="700" customWidth="1"/>
    <col min="2050" max="2050" width="15.140625" style="700" customWidth="1"/>
    <col min="2051" max="2051" width="13.85546875" style="700" customWidth="1"/>
    <col min="2052" max="2052" width="10.140625" style="700" customWidth="1"/>
    <col min="2053" max="2053" width="9.140625" style="700"/>
    <col min="2054" max="2054" width="3.42578125" style="700" customWidth="1"/>
    <col min="2055" max="2055" width="19.5703125" style="700" customWidth="1"/>
    <col min="2056" max="2056" width="12.28515625" style="700" customWidth="1"/>
    <col min="2057" max="2057" width="10.42578125" style="700" customWidth="1"/>
    <col min="2058" max="2058" width="9.140625" style="700"/>
    <col min="2059" max="2059" width="3.5703125" style="700" customWidth="1"/>
    <col min="2060" max="2060" width="16.42578125" style="700" customWidth="1"/>
    <col min="2061" max="2061" width="11.7109375" style="700" customWidth="1"/>
    <col min="2062" max="2062" width="10.140625" style="700" customWidth="1"/>
    <col min="2063" max="2063" width="15.85546875" style="700" customWidth="1"/>
    <col min="2064" max="2064" width="3.85546875" style="700" customWidth="1"/>
    <col min="2065" max="2065" width="16.42578125" style="700" customWidth="1"/>
    <col min="2066" max="2066" width="11.28515625" style="700" customWidth="1"/>
    <col min="2067" max="2067" width="10.28515625" style="700" customWidth="1"/>
    <col min="2068" max="2068" width="10" style="700" customWidth="1"/>
    <col min="2069" max="2304" width="9.140625" style="700"/>
    <col min="2305" max="2305" width="4" style="700" customWidth="1"/>
    <col min="2306" max="2306" width="15.140625" style="700" customWidth="1"/>
    <col min="2307" max="2307" width="13.85546875" style="700" customWidth="1"/>
    <col min="2308" max="2308" width="10.140625" style="700" customWidth="1"/>
    <col min="2309" max="2309" width="9.140625" style="700"/>
    <col min="2310" max="2310" width="3.42578125" style="700" customWidth="1"/>
    <col min="2311" max="2311" width="19.5703125" style="700" customWidth="1"/>
    <col min="2312" max="2312" width="12.28515625" style="700" customWidth="1"/>
    <col min="2313" max="2313" width="10.42578125" style="700" customWidth="1"/>
    <col min="2314" max="2314" width="9.140625" style="700"/>
    <col min="2315" max="2315" width="3.5703125" style="700" customWidth="1"/>
    <col min="2316" max="2316" width="16.42578125" style="700" customWidth="1"/>
    <col min="2317" max="2317" width="11.7109375" style="700" customWidth="1"/>
    <col min="2318" max="2318" width="10.140625" style="700" customWidth="1"/>
    <col min="2319" max="2319" width="15.85546875" style="700" customWidth="1"/>
    <col min="2320" max="2320" width="3.85546875" style="700" customWidth="1"/>
    <col min="2321" max="2321" width="16.42578125" style="700" customWidth="1"/>
    <col min="2322" max="2322" width="11.28515625" style="700" customWidth="1"/>
    <col min="2323" max="2323" width="10.28515625" style="700" customWidth="1"/>
    <col min="2324" max="2324" width="10" style="700" customWidth="1"/>
    <col min="2325" max="2560" width="9.140625" style="700"/>
    <col min="2561" max="2561" width="4" style="700" customWidth="1"/>
    <col min="2562" max="2562" width="15.140625" style="700" customWidth="1"/>
    <col min="2563" max="2563" width="13.85546875" style="700" customWidth="1"/>
    <col min="2564" max="2564" width="10.140625" style="700" customWidth="1"/>
    <col min="2565" max="2565" width="9.140625" style="700"/>
    <col min="2566" max="2566" width="3.42578125" style="700" customWidth="1"/>
    <col min="2567" max="2567" width="19.5703125" style="700" customWidth="1"/>
    <col min="2568" max="2568" width="12.28515625" style="700" customWidth="1"/>
    <col min="2569" max="2569" width="10.42578125" style="700" customWidth="1"/>
    <col min="2570" max="2570" width="9.140625" style="700"/>
    <col min="2571" max="2571" width="3.5703125" style="700" customWidth="1"/>
    <col min="2572" max="2572" width="16.42578125" style="700" customWidth="1"/>
    <col min="2573" max="2573" width="11.7109375" style="700" customWidth="1"/>
    <col min="2574" max="2574" width="10.140625" style="700" customWidth="1"/>
    <col min="2575" max="2575" width="15.85546875" style="700" customWidth="1"/>
    <col min="2576" max="2576" width="3.85546875" style="700" customWidth="1"/>
    <col min="2577" max="2577" width="16.42578125" style="700" customWidth="1"/>
    <col min="2578" max="2578" width="11.28515625" style="700" customWidth="1"/>
    <col min="2579" max="2579" width="10.28515625" style="700" customWidth="1"/>
    <col min="2580" max="2580" width="10" style="700" customWidth="1"/>
    <col min="2581" max="2816" width="9.140625" style="700"/>
    <col min="2817" max="2817" width="4" style="700" customWidth="1"/>
    <col min="2818" max="2818" width="15.140625" style="700" customWidth="1"/>
    <col min="2819" max="2819" width="13.85546875" style="700" customWidth="1"/>
    <col min="2820" max="2820" width="10.140625" style="700" customWidth="1"/>
    <col min="2821" max="2821" width="9.140625" style="700"/>
    <col min="2822" max="2822" width="3.42578125" style="700" customWidth="1"/>
    <col min="2823" max="2823" width="19.5703125" style="700" customWidth="1"/>
    <col min="2824" max="2824" width="12.28515625" style="700" customWidth="1"/>
    <col min="2825" max="2825" width="10.42578125" style="700" customWidth="1"/>
    <col min="2826" max="2826" width="9.140625" style="700"/>
    <col min="2827" max="2827" width="3.5703125" style="700" customWidth="1"/>
    <col min="2828" max="2828" width="16.42578125" style="700" customWidth="1"/>
    <col min="2829" max="2829" width="11.7109375" style="700" customWidth="1"/>
    <col min="2830" max="2830" width="10.140625" style="700" customWidth="1"/>
    <col min="2831" max="2831" width="15.85546875" style="700" customWidth="1"/>
    <col min="2832" max="2832" width="3.85546875" style="700" customWidth="1"/>
    <col min="2833" max="2833" width="16.42578125" style="700" customWidth="1"/>
    <col min="2834" max="2834" width="11.28515625" style="700" customWidth="1"/>
    <col min="2835" max="2835" width="10.28515625" style="700" customWidth="1"/>
    <col min="2836" max="2836" width="10" style="700" customWidth="1"/>
    <col min="2837" max="3072" width="9.140625" style="700"/>
    <col min="3073" max="3073" width="4" style="700" customWidth="1"/>
    <col min="3074" max="3074" width="15.140625" style="700" customWidth="1"/>
    <col min="3075" max="3075" width="13.85546875" style="700" customWidth="1"/>
    <col min="3076" max="3076" width="10.140625" style="700" customWidth="1"/>
    <col min="3077" max="3077" width="9.140625" style="700"/>
    <col min="3078" max="3078" width="3.42578125" style="700" customWidth="1"/>
    <col min="3079" max="3079" width="19.5703125" style="700" customWidth="1"/>
    <col min="3080" max="3080" width="12.28515625" style="700" customWidth="1"/>
    <col min="3081" max="3081" width="10.42578125" style="700" customWidth="1"/>
    <col min="3082" max="3082" width="9.140625" style="700"/>
    <col min="3083" max="3083" width="3.5703125" style="700" customWidth="1"/>
    <col min="3084" max="3084" width="16.42578125" style="700" customWidth="1"/>
    <col min="3085" max="3085" width="11.7109375" style="700" customWidth="1"/>
    <col min="3086" max="3086" width="10.140625" style="700" customWidth="1"/>
    <col min="3087" max="3087" width="15.85546875" style="700" customWidth="1"/>
    <col min="3088" max="3088" width="3.85546875" style="700" customWidth="1"/>
    <col min="3089" max="3089" width="16.42578125" style="700" customWidth="1"/>
    <col min="3090" max="3090" width="11.28515625" style="700" customWidth="1"/>
    <col min="3091" max="3091" width="10.28515625" style="700" customWidth="1"/>
    <col min="3092" max="3092" width="10" style="700" customWidth="1"/>
    <col min="3093" max="3328" width="9.140625" style="700"/>
    <col min="3329" max="3329" width="4" style="700" customWidth="1"/>
    <col min="3330" max="3330" width="15.140625" style="700" customWidth="1"/>
    <col min="3331" max="3331" width="13.85546875" style="700" customWidth="1"/>
    <col min="3332" max="3332" width="10.140625" style="700" customWidth="1"/>
    <col min="3333" max="3333" width="9.140625" style="700"/>
    <col min="3334" max="3334" width="3.42578125" style="700" customWidth="1"/>
    <col min="3335" max="3335" width="19.5703125" style="700" customWidth="1"/>
    <col min="3336" max="3336" width="12.28515625" style="700" customWidth="1"/>
    <col min="3337" max="3337" width="10.42578125" style="700" customWidth="1"/>
    <col min="3338" max="3338" width="9.140625" style="700"/>
    <col min="3339" max="3339" width="3.5703125" style="700" customWidth="1"/>
    <col min="3340" max="3340" width="16.42578125" style="700" customWidth="1"/>
    <col min="3341" max="3341" width="11.7109375" style="700" customWidth="1"/>
    <col min="3342" max="3342" width="10.140625" style="700" customWidth="1"/>
    <col min="3343" max="3343" width="15.85546875" style="700" customWidth="1"/>
    <col min="3344" max="3344" width="3.85546875" style="700" customWidth="1"/>
    <col min="3345" max="3345" width="16.42578125" style="700" customWidth="1"/>
    <col min="3346" max="3346" width="11.28515625" style="700" customWidth="1"/>
    <col min="3347" max="3347" width="10.28515625" style="700" customWidth="1"/>
    <col min="3348" max="3348" width="10" style="700" customWidth="1"/>
    <col min="3349" max="3584" width="9.140625" style="700"/>
    <col min="3585" max="3585" width="4" style="700" customWidth="1"/>
    <col min="3586" max="3586" width="15.140625" style="700" customWidth="1"/>
    <col min="3587" max="3587" width="13.85546875" style="700" customWidth="1"/>
    <col min="3588" max="3588" width="10.140625" style="700" customWidth="1"/>
    <col min="3589" max="3589" width="9.140625" style="700"/>
    <col min="3590" max="3590" width="3.42578125" style="700" customWidth="1"/>
    <col min="3591" max="3591" width="19.5703125" style="700" customWidth="1"/>
    <col min="3592" max="3592" width="12.28515625" style="700" customWidth="1"/>
    <col min="3593" max="3593" width="10.42578125" style="700" customWidth="1"/>
    <col min="3594" max="3594" width="9.140625" style="700"/>
    <col min="3595" max="3595" width="3.5703125" style="700" customWidth="1"/>
    <col min="3596" max="3596" width="16.42578125" style="700" customWidth="1"/>
    <col min="3597" max="3597" width="11.7109375" style="700" customWidth="1"/>
    <col min="3598" max="3598" width="10.140625" style="700" customWidth="1"/>
    <col min="3599" max="3599" width="15.85546875" style="700" customWidth="1"/>
    <col min="3600" max="3600" width="3.85546875" style="700" customWidth="1"/>
    <col min="3601" max="3601" width="16.42578125" style="700" customWidth="1"/>
    <col min="3602" max="3602" width="11.28515625" style="700" customWidth="1"/>
    <col min="3603" max="3603" width="10.28515625" style="700" customWidth="1"/>
    <col min="3604" max="3604" width="10" style="700" customWidth="1"/>
    <col min="3605" max="3840" width="9.140625" style="700"/>
    <col min="3841" max="3841" width="4" style="700" customWidth="1"/>
    <col min="3842" max="3842" width="15.140625" style="700" customWidth="1"/>
    <col min="3843" max="3843" width="13.85546875" style="700" customWidth="1"/>
    <col min="3844" max="3844" width="10.140625" style="700" customWidth="1"/>
    <col min="3845" max="3845" width="9.140625" style="700"/>
    <col min="3846" max="3846" width="3.42578125" style="700" customWidth="1"/>
    <col min="3847" max="3847" width="19.5703125" style="700" customWidth="1"/>
    <col min="3848" max="3848" width="12.28515625" style="700" customWidth="1"/>
    <col min="3849" max="3849" width="10.42578125" style="700" customWidth="1"/>
    <col min="3850" max="3850" width="9.140625" style="700"/>
    <col min="3851" max="3851" width="3.5703125" style="700" customWidth="1"/>
    <col min="3852" max="3852" width="16.42578125" style="700" customWidth="1"/>
    <col min="3853" max="3853" width="11.7109375" style="700" customWidth="1"/>
    <col min="3854" max="3854" width="10.140625" style="700" customWidth="1"/>
    <col min="3855" max="3855" width="15.85546875" style="700" customWidth="1"/>
    <col min="3856" max="3856" width="3.85546875" style="700" customWidth="1"/>
    <col min="3857" max="3857" width="16.42578125" style="700" customWidth="1"/>
    <col min="3858" max="3858" width="11.28515625" style="700" customWidth="1"/>
    <col min="3859" max="3859" width="10.28515625" style="700" customWidth="1"/>
    <col min="3860" max="3860" width="10" style="700" customWidth="1"/>
    <col min="3861" max="4096" width="9.140625" style="700"/>
    <col min="4097" max="4097" width="4" style="700" customWidth="1"/>
    <col min="4098" max="4098" width="15.140625" style="700" customWidth="1"/>
    <col min="4099" max="4099" width="13.85546875" style="700" customWidth="1"/>
    <col min="4100" max="4100" width="10.140625" style="700" customWidth="1"/>
    <col min="4101" max="4101" width="9.140625" style="700"/>
    <col min="4102" max="4102" width="3.42578125" style="700" customWidth="1"/>
    <col min="4103" max="4103" width="19.5703125" style="700" customWidth="1"/>
    <col min="4104" max="4104" width="12.28515625" style="700" customWidth="1"/>
    <col min="4105" max="4105" width="10.42578125" style="700" customWidth="1"/>
    <col min="4106" max="4106" width="9.140625" style="700"/>
    <col min="4107" max="4107" width="3.5703125" style="700" customWidth="1"/>
    <col min="4108" max="4108" width="16.42578125" style="700" customWidth="1"/>
    <col min="4109" max="4109" width="11.7109375" style="700" customWidth="1"/>
    <col min="4110" max="4110" width="10.140625" style="700" customWidth="1"/>
    <col min="4111" max="4111" width="15.85546875" style="700" customWidth="1"/>
    <col min="4112" max="4112" width="3.85546875" style="700" customWidth="1"/>
    <col min="4113" max="4113" width="16.42578125" style="700" customWidth="1"/>
    <col min="4114" max="4114" width="11.28515625" style="700" customWidth="1"/>
    <col min="4115" max="4115" width="10.28515625" style="700" customWidth="1"/>
    <col min="4116" max="4116" width="10" style="700" customWidth="1"/>
    <col min="4117" max="4352" width="9.140625" style="700"/>
    <col min="4353" max="4353" width="4" style="700" customWidth="1"/>
    <col min="4354" max="4354" width="15.140625" style="700" customWidth="1"/>
    <col min="4355" max="4355" width="13.85546875" style="700" customWidth="1"/>
    <col min="4356" max="4356" width="10.140625" style="700" customWidth="1"/>
    <col min="4357" max="4357" width="9.140625" style="700"/>
    <col min="4358" max="4358" width="3.42578125" style="700" customWidth="1"/>
    <col min="4359" max="4359" width="19.5703125" style="700" customWidth="1"/>
    <col min="4360" max="4360" width="12.28515625" style="700" customWidth="1"/>
    <col min="4361" max="4361" width="10.42578125" style="700" customWidth="1"/>
    <col min="4362" max="4362" width="9.140625" style="700"/>
    <col min="4363" max="4363" width="3.5703125" style="700" customWidth="1"/>
    <col min="4364" max="4364" width="16.42578125" style="700" customWidth="1"/>
    <col min="4365" max="4365" width="11.7109375" style="700" customWidth="1"/>
    <col min="4366" max="4366" width="10.140625" style="700" customWidth="1"/>
    <col min="4367" max="4367" width="15.85546875" style="700" customWidth="1"/>
    <col min="4368" max="4368" width="3.85546875" style="700" customWidth="1"/>
    <col min="4369" max="4369" width="16.42578125" style="700" customWidth="1"/>
    <col min="4370" max="4370" width="11.28515625" style="700" customWidth="1"/>
    <col min="4371" max="4371" width="10.28515625" style="700" customWidth="1"/>
    <col min="4372" max="4372" width="10" style="700" customWidth="1"/>
    <col min="4373" max="4608" width="9.140625" style="700"/>
    <col min="4609" max="4609" width="4" style="700" customWidth="1"/>
    <col min="4610" max="4610" width="15.140625" style="700" customWidth="1"/>
    <col min="4611" max="4611" width="13.85546875" style="700" customWidth="1"/>
    <col min="4612" max="4612" width="10.140625" style="700" customWidth="1"/>
    <col min="4613" max="4613" width="9.140625" style="700"/>
    <col min="4614" max="4614" width="3.42578125" style="700" customWidth="1"/>
    <col min="4615" max="4615" width="19.5703125" style="700" customWidth="1"/>
    <col min="4616" max="4616" width="12.28515625" style="700" customWidth="1"/>
    <col min="4617" max="4617" width="10.42578125" style="700" customWidth="1"/>
    <col min="4618" max="4618" width="9.140625" style="700"/>
    <col min="4619" max="4619" width="3.5703125" style="700" customWidth="1"/>
    <col min="4620" max="4620" width="16.42578125" style="700" customWidth="1"/>
    <col min="4621" max="4621" width="11.7109375" style="700" customWidth="1"/>
    <col min="4622" max="4622" width="10.140625" style="700" customWidth="1"/>
    <col min="4623" max="4623" width="15.85546875" style="700" customWidth="1"/>
    <col min="4624" max="4624" width="3.85546875" style="700" customWidth="1"/>
    <col min="4625" max="4625" width="16.42578125" style="700" customWidth="1"/>
    <col min="4626" max="4626" width="11.28515625" style="700" customWidth="1"/>
    <col min="4627" max="4627" width="10.28515625" style="700" customWidth="1"/>
    <col min="4628" max="4628" width="10" style="700" customWidth="1"/>
    <col min="4629" max="4864" width="9.140625" style="700"/>
    <col min="4865" max="4865" width="4" style="700" customWidth="1"/>
    <col min="4866" max="4866" width="15.140625" style="700" customWidth="1"/>
    <col min="4867" max="4867" width="13.85546875" style="700" customWidth="1"/>
    <col min="4868" max="4868" width="10.140625" style="700" customWidth="1"/>
    <col min="4869" max="4869" width="9.140625" style="700"/>
    <col min="4870" max="4870" width="3.42578125" style="700" customWidth="1"/>
    <col min="4871" max="4871" width="19.5703125" style="700" customWidth="1"/>
    <col min="4872" max="4872" width="12.28515625" style="700" customWidth="1"/>
    <col min="4873" max="4873" width="10.42578125" style="700" customWidth="1"/>
    <col min="4874" max="4874" width="9.140625" style="700"/>
    <col min="4875" max="4875" width="3.5703125" style="700" customWidth="1"/>
    <col min="4876" max="4876" width="16.42578125" style="700" customWidth="1"/>
    <col min="4877" max="4877" width="11.7109375" style="700" customWidth="1"/>
    <col min="4878" max="4878" width="10.140625" style="700" customWidth="1"/>
    <col min="4879" max="4879" width="15.85546875" style="700" customWidth="1"/>
    <col min="4880" max="4880" width="3.85546875" style="700" customWidth="1"/>
    <col min="4881" max="4881" width="16.42578125" style="700" customWidth="1"/>
    <col min="4882" max="4882" width="11.28515625" style="700" customWidth="1"/>
    <col min="4883" max="4883" width="10.28515625" style="700" customWidth="1"/>
    <col min="4884" max="4884" width="10" style="700" customWidth="1"/>
    <col min="4885" max="5120" width="9.140625" style="700"/>
    <col min="5121" max="5121" width="4" style="700" customWidth="1"/>
    <col min="5122" max="5122" width="15.140625" style="700" customWidth="1"/>
    <col min="5123" max="5123" width="13.85546875" style="700" customWidth="1"/>
    <col min="5124" max="5124" width="10.140625" style="700" customWidth="1"/>
    <col min="5125" max="5125" width="9.140625" style="700"/>
    <col min="5126" max="5126" width="3.42578125" style="700" customWidth="1"/>
    <col min="5127" max="5127" width="19.5703125" style="700" customWidth="1"/>
    <col min="5128" max="5128" width="12.28515625" style="700" customWidth="1"/>
    <col min="5129" max="5129" width="10.42578125" style="700" customWidth="1"/>
    <col min="5130" max="5130" width="9.140625" style="700"/>
    <col min="5131" max="5131" width="3.5703125" style="700" customWidth="1"/>
    <col min="5132" max="5132" width="16.42578125" style="700" customWidth="1"/>
    <col min="5133" max="5133" width="11.7109375" style="700" customWidth="1"/>
    <col min="5134" max="5134" width="10.140625" style="700" customWidth="1"/>
    <col min="5135" max="5135" width="15.85546875" style="700" customWidth="1"/>
    <col min="5136" max="5136" width="3.85546875" style="700" customWidth="1"/>
    <col min="5137" max="5137" width="16.42578125" style="700" customWidth="1"/>
    <col min="5138" max="5138" width="11.28515625" style="700" customWidth="1"/>
    <col min="5139" max="5139" width="10.28515625" style="700" customWidth="1"/>
    <col min="5140" max="5140" width="10" style="700" customWidth="1"/>
    <col min="5141" max="5376" width="9.140625" style="700"/>
    <col min="5377" max="5377" width="4" style="700" customWidth="1"/>
    <col min="5378" max="5378" width="15.140625" style="700" customWidth="1"/>
    <col min="5379" max="5379" width="13.85546875" style="700" customWidth="1"/>
    <col min="5380" max="5380" width="10.140625" style="700" customWidth="1"/>
    <col min="5381" max="5381" width="9.140625" style="700"/>
    <col min="5382" max="5382" width="3.42578125" style="700" customWidth="1"/>
    <col min="5383" max="5383" width="19.5703125" style="700" customWidth="1"/>
    <col min="5384" max="5384" width="12.28515625" style="700" customWidth="1"/>
    <col min="5385" max="5385" width="10.42578125" style="700" customWidth="1"/>
    <col min="5386" max="5386" width="9.140625" style="700"/>
    <col min="5387" max="5387" width="3.5703125" style="700" customWidth="1"/>
    <col min="5388" max="5388" width="16.42578125" style="700" customWidth="1"/>
    <col min="5389" max="5389" width="11.7109375" style="700" customWidth="1"/>
    <col min="5390" max="5390" width="10.140625" style="700" customWidth="1"/>
    <col min="5391" max="5391" width="15.85546875" style="700" customWidth="1"/>
    <col min="5392" max="5392" width="3.85546875" style="700" customWidth="1"/>
    <col min="5393" max="5393" width="16.42578125" style="700" customWidth="1"/>
    <col min="5394" max="5394" width="11.28515625" style="700" customWidth="1"/>
    <col min="5395" max="5395" width="10.28515625" style="700" customWidth="1"/>
    <col min="5396" max="5396" width="10" style="700" customWidth="1"/>
    <col min="5397" max="5632" width="9.140625" style="700"/>
    <col min="5633" max="5633" width="4" style="700" customWidth="1"/>
    <col min="5634" max="5634" width="15.140625" style="700" customWidth="1"/>
    <col min="5635" max="5635" width="13.85546875" style="700" customWidth="1"/>
    <col min="5636" max="5636" width="10.140625" style="700" customWidth="1"/>
    <col min="5637" max="5637" width="9.140625" style="700"/>
    <col min="5638" max="5638" width="3.42578125" style="700" customWidth="1"/>
    <col min="5639" max="5639" width="19.5703125" style="700" customWidth="1"/>
    <col min="5640" max="5640" width="12.28515625" style="700" customWidth="1"/>
    <col min="5641" max="5641" width="10.42578125" style="700" customWidth="1"/>
    <col min="5642" max="5642" width="9.140625" style="700"/>
    <col min="5643" max="5643" width="3.5703125" style="700" customWidth="1"/>
    <col min="5644" max="5644" width="16.42578125" style="700" customWidth="1"/>
    <col min="5645" max="5645" width="11.7109375" style="700" customWidth="1"/>
    <col min="5646" max="5646" width="10.140625" style="700" customWidth="1"/>
    <col min="5647" max="5647" width="15.85546875" style="700" customWidth="1"/>
    <col min="5648" max="5648" width="3.85546875" style="700" customWidth="1"/>
    <col min="5649" max="5649" width="16.42578125" style="700" customWidth="1"/>
    <col min="5650" max="5650" width="11.28515625" style="700" customWidth="1"/>
    <col min="5651" max="5651" width="10.28515625" style="700" customWidth="1"/>
    <col min="5652" max="5652" width="10" style="700" customWidth="1"/>
    <col min="5653" max="5888" width="9.140625" style="700"/>
    <col min="5889" max="5889" width="4" style="700" customWidth="1"/>
    <col min="5890" max="5890" width="15.140625" style="700" customWidth="1"/>
    <col min="5891" max="5891" width="13.85546875" style="700" customWidth="1"/>
    <col min="5892" max="5892" width="10.140625" style="700" customWidth="1"/>
    <col min="5893" max="5893" width="9.140625" style="700"/>
    <col min="5894" max="5894" width="3.42578125" style="700" customWidth="1"/>
    <col min="5895" max="5895" width="19.5703125" style="700" customWidth="1"/>
    <col min="5896" max="5896" width="12.28515625" style="700" customWidth="1"/>
    <col min="5897" max="5897" width="10.42578125" style="700" customWidth="1"/>
    <col min="5898" max="5898" width="9.140625" style="700"/>
    <col min="5899" max="5899" width="3.5703125" style="700" customWidth="1"/>
    <col min="5900" max="5900" width="16.42578125" style="700" customWidth="1"/>
    <col min="5901" max="5901" width="11.7109375" style="700" customWidth="1"/>
    <col min="5902" max="5902" width="10.140625" style="700" customWidth="1"/>
    <col min="5903" max="5903" width="15.85546875" style="700" customWidth="1"/>
    <col min="5904" max="5904" width="3.85546875" style="700" customWidth="1"/>
    <col min="5905" max="5905" width="16.42578125" style="700" customWidth="1"/>
    <col min="5906" max="5906" width="11.28515625" style="700" customWidth="1"/>
    <col min="5907" max="5907" width="10.28515625" style="700" customWidth="1"/>
    <col min="5908" max="5908" width="10" style="700" customWidth="1"/>
    <col min="5909" max="6144" width="9.140625" style="700"/>
    <col min="6145" max="6145" width="4" style="700" customWidth="1"/>
    <col min="6146" max="6146" width="15.140625" style="700" customWidth="1"/>
    <col min="6147" max="6147" width="13.85546875" style="700" customWidth="1"/>
    <col min="6148" max="6148" width="10.140625" style="700" customWidth="1"/>
    <col min="6149" max="6149" width="9.140625" style="700"/>
    <col min="6150" max="6150" width="3.42578125" style="700" customWidth="1"/>
    <col min="6151" max="6151" width="19.5703125" style="700" customWidth="1"/>
    <col min="6152" max="6152" width="12.28515625" style="700" customWidth="1"/>
    <col min="6153" max="6153" width="10.42578125" style="700" customWidth="1"/>
    <col min="6154" max="6154" width="9.140625" style="700"/>
    <col min="6155" max="6155" width="3.5703125" style="700" customWidth="1"/>
    <col min="6156" max="6156" width="16.42578125" style="700" customWidth="1"/>
    <col min="6157" max="6157" width="11.7109375" style="700" customWidth="1"/>
    <col min="6158" max="6158" width="10.140625" style="700" customWidth="1"/>
    <col min="6159" max="6159" width="15.85546875" style="700" customWidth="1"/>
    <col min="6160" max="6160" width="3.85546875" style="700" customWidth="1"/>
    <col min="6161" max="6161" width="16.42578125" style="700" customWidth="1"/>
    <col min="6162" max="6162" width="11.28515625" style="700" customWidth="1"/>
    <col min="6163" max="6163" width="10.28515625" style="700" customWidth="1"/>
    <col min="6164" max="6164" width="10" style="700" customWidth="1"/>
    <col min="6165" max="6400" width="9.140625" style="700"/>
    <col min="6401" max="6401" width="4" style="700" customWidth="1"/>
    <col min="6402" max="6402" width="15.140625" style="700" customWidth="1"/>
    <col min="6403" max="6403" width="13.85546875" style="700" customWidth="1"/>
    <col min="6404" max="6404" width="10.140625" style="700" customWidth="1"/>
    <col min="6405" max="6405" width="9.140625" style="700"/>
    <col min="6406" max="6406" width="3.42578125" style="700" customWidth="1"/>
    <col min="6407" max="6407" width="19.5703125" style="700" customWidth="1"/>
    <col min="6408" max="6408" width="12.28515625" style="700" customWidth="1"/>
    <col min="6409" max="6409" width="10.42578125" style="700" customWidth="1"/>
    <col min="6410" max="6410" width="9.140625" style="700"/>
    <col min="6411" max="6411" width="3.5703125" style="700" customWidth="1"/>
    <col min="6412" max="6412" width="16.42578125" style="700" customWidth="1"/>
    <col min="6413" max="6413" width="11.7109375" style="700" customWidth="1"/>
    <col min="6414" max="6414" width="10.140625" style="700" customWidth="1"/>
    <col min="6415" max="6415" width="15.85546875" style="700" customWidth="1"/>
    <col min="6416" max="6416" width="3.85546875" style="700" customWidth="1"/>
    <col min="6417" max="6417" width="16.42578125" style="700" customWidth="1"/>
    <col min="6418" max="6418" width="11.28515625" style="700" customWidth="1"/>
    <col min="6419" max="6419" width="10.28515625" style="700" customWidth="1"/>
    <col min="6420" max="6420" width="10" style="700" customWidth="1"/>
    <col min="6421" max="6656" width="9.140625" style="700"/>
    <col min="6657" max="6657" width="4" style="700" customWidth="1"/>
    <col min="6658" max="6658" width="15.140625" style="700" customWidth="1"/>
    <col min="6659" max="6659" width="13.85546875" style="700" customWidth="1"/>
    <col min="6660" max="6660" width="10.140625" style="700" customWidth="1"/>
    <col min="6661" max="6661" width="9.140625" style="700"/>
    <col min="6662" max="6662" width="3.42578125" style="700" customWidth="1"/>
    <col min="6663" max="6663" width="19.5703125" style="700" customWidth="1"/>
    <col min="6664" max="6664" width="12.28515625" style="700" customWidth="1"/>
    <col min="6665" max="6665" width="10.42578125" style="700" customWidth="1"/>
    <col min="6666" max="6666" width="9.140625" style="700"/>
    <col min="6667" max="6667" width="3.5703125" style="700" customWidth="1"/>
    <col min="6668" max="6668" width="16.42578125" style="700" customWidth="1"/>
    <col min="6669" max="6669" width="11.7109375" style="700" customWidth="1"/>
    <col min="6670" max="6670" width="10.140625" style="700" customWidth="1"/>
    <col min="6671" max="6671" width="15.85546875" style="700" customWidth="1"/>
    <col min="6672" max="6672" width="3.85546875" style="700" customWidth="1"/>
    <col min="6673" max="6673" width="16.42578125" style="700" customWidth="1"/>
    <col min="6674" max="6674" width="11.28515625" style="700" customWidth="1"/>
    <col min="6675" max="6675" width="10.28515625" style="700" customWidth="1"/>
    <col min="6676" max="6676" width="10" style="700" customWidth="1"/>
    <col min="6677" max="6912" width="9.140625" style="700"/>
    <col min="6913" max="6913" width="4" style="700" customWidth="1"/>
    <col min="6914" max="6914" width="15.140625" style="700" customWidth="1"/>
    <col min="6915" max="6915" width="13.85546875" style="700" customWidth="1"/>
    <col min="6916" max="6916" width="10.140625" style="700" customWidth="1"/>
    <col min="6917" max="6917" width="9.140625" style="700"/>
    <col min="6918" max="6918" width="3.42578125" style="700" customWidth="1"/>
    <col min="6919" max="6919" width="19.5703125" style="700" customWidth="1"/>
    <col min="6920" max="6920" width="12.28515625" style="700" customWidth="1"/>
    <col min="6921" max="6921" width="10.42578125" style="700" customWidth="1"/>
    <col min="6922" max="6922" width="9.140625" style="700"/>
    <col min="6923" max="6923" width="3.5703125" style="700" customWidth="1"/>
    <col min="6924" max="6924" width="16.42578125" style="700" customWidth="1"/>
    <col min="6925" max="6925" width="11.7109375" style="700" customWidth="1"/>
    <col min="6926" max="6926" width="10.140625" style="700" customWidth="1"/>
    <col min="6927" max="6927" width="15.85546875" style="700" customWidth="1"/>
    <col min="6928" max="6928" width="3.85546875" style="700" customWidth="1"/>
    <col min="6929" max="6929" width="16.42578125" style="700" customWidth="1"/>
    <col min="6930" max="6930" width="11.28515625" style="700" customWidth="1"/>
    <col min="6931" max="6931" width="10.28515625" style="700" customWidth="1"/>
    <col min="6932" max="6932" width="10" style="700" customWidth="1"/>
    <col min="6933" max="7168" width="9.140625" style="700"/>
    <col min="7169" max="7169" width="4" style="700" customWidth="1"/>
    <col min="7170" max="7170" width="15.140625" style="700" customWidth="1"/>
    <col min="7171" max="7171" width="13.85546875" style="700" customWidth="1"/>
    <col min="7172" max="7172" width="10.140625" style="700" customWidth="1"/>
    <col min="7173" max="7173" width="9.140625" style="700"/>
    <col min="7174" max="7174" width="3.42578125" style="700" customWidth="1"/>
    <col min="7175" max="7175" width="19.5703125" style="700" customWidth="1"/>
    <col min="7176" max="7176" width="12.28515625" style="700" customWidth="1"/>
    <col min="7177" max="7177" width="10.42578125" style="700" customWidth="1"/>
    <col min="7178" max="7178" width="9.140625" style="700"/>
    <col min="7179" max="7179" width="3.5703125" style="700" customWidth="1"/>
    <col min="7180" max="7180" width="16.42578125" style="700" customWidth="1"/>
    <col min="7181" max="7181" width="11.7109375" style="700" customWidth="1"/>
    <col min="7182" max="7182" width="10.140625" style="700" customWidth="1"/>
    <col min="7183" max="7183" width="15.85546875" style="700" customWidth="1"/>
    <col min="7184" max="7184" width="3.85546875" style="700" customWidth="1"/>
    <col min="7185" max="7185" width="16.42578125" style="700" customWidth="1"/>
    <col min="7186" max="7186" width="11.28515625" style="700" customWidth="1"/>
    <col min="7187" max="7187" width="10.28515625" style="700" customWidth="1"/>
    <col min="7188" max="7188" width="10" style="700" customWidth="1"/>
    <col min="7189" max="7424" width="9.140625" style="700"/>
    <col min="7425" max="7425" width="4" style="700" customWidth="1"/>
    <col min="7426" max="7426" width="15.140625" style="700" customWidth="1"/>
    <col min="7427" max="7427" width="13.85546875" style="700" customWidth="1"/>
    <col min="7428" max="7428" width="10.140625" style="700" customWidth="1"/>
    <col min="7429" max="7429" width="9.140625" style="700"/>
    <col min="7430" max="7430" width="3.42578125" style="700" customWidth="1"/>
    <col min="7431" max="7431" width="19.5703125" style="700" customWidth="1"/>
    <col min="7432" max="7432" width="12.28515625" style="700" customWidth="1"/>
    <col min="7433" max="7433" width="10.42578125" style="700" customWidth="1"/>
    <col min="7434" max="7434" width="9.140625" style="700"/>
    <col min="7435" max="7435" width="3.5703125" style="700" customWidth="1"/>
    <col min="7436" max="7436" width="16.42578125" style="700" customWidth="1"/>
    <col min="7437" max="7437" width="11.7109375" style="700" customWidth="1"/>
    <col min="7438" max="7438" width="10.140625" style="700" customWidth="1"/>
    <col min="7439" max="7439" width="15.85546875" style="700" customWidth="1"/>
    <col min="7440" max="7440" width="3.85546875" style="700" customWidth="1"/>
    <col min="7441" max="7441" width="16.42578125" style="700" customWidth="1"/>
    <col min="7442" max="7442" width="11.28515625" style="700" customWidth="1"/>
    <col min="7443" max="7443" width="10.28515625" style="700" customWidth="1"/>
    <col min="7444" max="7444" width="10" style="700" customWidth="1"/>
    <col min="7445" max="7680" width="9.140625" style="700"/>
    <col min="7681" max="7681" width="4" style="700" customWidth="1"/>
    <col min="7682" max="7682" width="15.140625" style="700" customWidth="1"/>
    <col min="7683" max="7683" width="13.85546875" style="700" customWidth="1"/>
    <col min="7684" max="7684" width="10.140625" style="700" customWidth="1"/>
    <col min="7685" max="7685" width="9.140625" style="700"/>
    <col min="7686" max="7686" width="3.42578125" style="700" customWidth="1"/>
    <col min="7687" max="7687" width="19.5703125" style="700" customWidth="1"/>
    <col min="7688" max="7688" width="12.28515625" style="700" customWidth="1"/>
    <col min="7689" max="7689" width="10.42578125" style="700" customWidth="1"/>
    <col min="7690" max="7690" width="9.140625" style="700"/>
    <col min="7691" max="7691" width="3.5703125" style="700" customWidth="1"/>
    <col min="7692" max="7692" width="16.42578125" style="700" customWidth="1"/>
    <col min="7693" max="7693" width="11.7109375" style="700" customWidth="1"/>
    <col min="7694" max="7694" width="10.140625" style="700" customWidth="1"/>
    <col min="7695" max="7695" width="15.85546875" style="700" customWidth="1"/>
    <col min="7696" max="7696" width="3.85546875" style="700" customWidth="1"/>
    <col min="7697" max="7697" width="16.42578125" style="700" customWidth="1"/>
    <col min="7698" max="7698" width="11.28515625" style="700" customWidth="1"/>
    <col min="7699" max="7699" width="10.28515625" style="700" customWidth="1"/>
    <col min="7700" max="7700" width="10" style="700" customWidth="1"/>
    <col min="7701" max="7936" width="9.140625" style="700"/>
    <col min="7937" max="7937" width="4" style="700" customWidth="1"/>
    <col min="7938" max="7938" width="15.140625" style="700" customWidth="1"/>
    <col min="7939" max="7939" width="13.85546875" style="700" customWidth="1"/>
    <col min="7940" max="7940" width="10.140625" style="700" customWidth="1"/>
    <col min="7941" max="7941" width="9.140625" style="700"/>
    <col min="7942" max="7942" width="3.42578125" style="700" customWidth="1"/>
    <col min="7943" max="7943" width="19.5703125" style="700" customWidth="1"/>
    <col min="7944" max="7944" width="12.28515625" style="700" customWidth="1"/>
    <col min="7945" max="7945" width="10.42578125" style="700" customWidth="1"/>
    <col min="7946" max="7946" width="9.140625" style="700"/>
    <col min="7947" max="7947" width="3.5703125" style="700" customWidth="1"/>
    <col min="7948" max="7948" width="16.42578125" style="700" customWidth="1"/>
    <col min="7949" max="7949" width="11.7109375" style="700" customWidth="1"/>
    <col min="7950" max="7950" width="10.140625" style="700" customWidth="1"/>
    <col min="7951" max="7951" width="15.85546875" style="700" customWidth="1"/>
    <col min="7952" max="7952" width="3.85546875" style="700" customWidth="1"/>
    <col min="7953" max="7953" width="16.42578125" style="700" customWidth="1"/>
    <col min="7954" max="7954" width="11.28515625" style="700" customWidth="1"/>
    <col min="7955" max="7955" width="10.28515625" style="700" customWidth="1"/>
    <col min="7956" max="7956" width="10" style="700" customWidth="1"/>
    <col min="7957" max="8192" width="9.140625" style="700"/>
    <col min="8193" max="8193" width="4" style="700" customWidth="1"/>
    <col min="8194" max="8194" width="15.140625" style="700" customWidth="1"/>
    <col min="8195" max="8195" width="13.85546875" style="700" customWidth="1"/>
    <col min="8196" max="8196" width="10.140625" style="700" customWidth="1"/>
    <col min="8197" max="8197" width="9.140625" style="700"/>
    <col min="8198" max="8198" width="3.42578125" style="700" customWidth="1"/>
    <col min="8199" max="8199" width="19.5703125" style="700" customWidth="1"/>
    <col min="8200" max="8200" width="12.28515625" style="700" customWidth="1"/>
    <col min="8201" max="8201" width="10.42578125" style="700" customWidth="1"/>
    <col min="8202" max="8202" width="9.140625" style="700"/>
    <col min="8203" max="8203" width="3.5703125" style="700" customWidth="1"/>
    <col min="8204" max="8204" width="16.42578125" style="700" customWidth="1"/>
    <col min="8205" max="8205" width="11.7109375" style="700" customWidth="1"/>
    <col min="8206" max="8206" width="10.140625" style="700" customWidth="1"/>
    <col min="8207" max="8207" width="15.85546875" style="700" customWidth="1"/>
    <col min="8208" max="8208" width="3.85546875" style="700" customWidth="1"/>
    <col min="8209" max="8209" width="16.42578125" style="700" customWidth="1"/>
    <col min="8210" max="8210" width="11.28515625" style="700" customWidth="1"/>
    <col min="8211" max="8211" width="10.28515625" style="700" customWidth="1"/>
    <col min="8212" max="8212" width="10" style="700" customWidth="1"/>
    <col min="8213" max="8448" width="9.140625" style="700"/>
    <col min="8449" max="8449" width="4" style="700" customWidth="1"/>
    <col min="8450" max="8450" width="15.140625" style="700" customWidth="1"/>
    <col min="8451" max="8451" width="13.85546875" style="700" customWidth="1"/>
    <col min="8452" max="8452" width="10.140625" style="700" customWidth="1"/>
    <col min="8453" max="8453" width="9.140625" style="700"/>
    <col min="8454" max="8454" width="3.42578125" style="700" customWidth="1"/>
    <col min="8455" max="8455" width="19.5703125" style="700" customWidth="1"/>
    <col min="8456" max="8456" width="12.28515625" style="700" customWidth="1"/>
    <col min="8457" max="8457" width="10.42578125" style="700" customWidth="1"/>
    <col min="8458" max="8458" width="9.140625" style="700"/>
    <col min="8459" max="8459" width="3.5703125" style="700" customWidth="1"/>
    <col min="8460" max="8460" width="16.42578125" style="700" customWidth="1"/>
    <col min="8461" max="8461" width="11.7109375" style="700" customWidth="1"/>
    <col min="8462" max="8462" width="10.140625" style="700" customWidth="1"/>
    <col min="8463" max="8463" width="15.85546875" style="700" customWidth="1"/>
    <col min="8464" max="8464" width="3.85546875" style="700" customWidth="1"/>
    <col min="8465" max="8465" width="16.42578125" style="700" customWidth="1"/>
    <col min="8466" max="8466" width="11.28515625" style="700" customWidth="1"/>
    <col min="8467" max="8467" width="10.28515625" style="700" customWidth="1"/>
    <col min="8468" max="8468" width="10" style="700" customWidth="1"/>
    <col min="8469" max="8704" width="9.140625" style="700"/>
    <col min="8705" max="8705" width="4" style="700" customWidth="1"/>
    <col min="8706" max="8706" width="15.140625" style="700" customWidth="1"/>
    <col min="8707" max="8707" width="13.85546875" style="700" customWidth="1"/>
    <col min="8708" max="8708" width="10.140625" style="700" customWidth="1"/>
    <col min="8709" max="8709" width="9.140625" style="700"/>
    <col min="8710" max="8710" width="3.42578125" style="700" customWidth="1"/>
    <col min="8711" max="8711" width="19.5703125" style="700" customWidth="1"/>
    <col min="8712" max="8712" width="12.28515625" style="700" customWidth="1"/>
    <col min="8713" max="8713" width="10.42578125" style="700" customWidth="1"/>
    <col min="8714" max="8714" width="9.140625" style="700"/>
    <col min="8715" max="8715" width="3.5703125" style="700" customWidth="1"/>
    <col min="8716" max="8716" width="16.42578125" style="700" customWidth="1"/>
    <col min="8717" max="8717" width="11.7109375" style="700" customWidth="1"/>
    <col min="8718" max="8718" width="10.140625" style="700" customWidth="1"/>
    <col min="8719" max="8719" width="15.85546875" style="700" customWidth="1"/>
    <col min="8720" max="8720" width="3.85546875" style="700" customWidth="1"/>
    <col min="8721" max="8721" width="16.42578125" style="700" customWidth="1"/>
    <col min="8722" max="8722" width="11.28515625" style="700" customWidth="1"/>
    <col min="8723" max="8723" width="10.28515625" style="700" customWidth="1"/>
    <col min="8724" max="8724" width="10" style="700" customWidth="1"/>
    <col min="8725" max="8960" width="9.140625" style="700"/>
    <col min="8961" max="8961" width="4" style="700" customWidth="1"/>
    <col min="8962" max="8962" width="15.140625" style="700" customWidth="1"/>
    <col min="8963" max="8963" width="13.85546875" style="700" customWidth="1"/>
    <col min="8964" max="8964" width="10.140625" style="700" customWidth="1"/>
    <col min="8965" max="8965" width="9.140625" style="700"/>
    <col min="8966" max="8966" width="3.42578125" style="700" customWidth="1"/>
    <col min="8967" max="8967" width="19.5703125" style="700" customWidth="1"/>
    <col min="8968" max="8968" width="12.28515625" style="700" customWidth="1"/>
    <col min="8969" max="8969" width="10.42578125" style="700" customWidth="1"/>
    <col min="8970" max="8970" width="9.140625" style="700"/>
    <col min="8971" max="8971" width="3.5703125" style="700" customWidth="1"/>
    <col min="8972" max="8972" width="16.42578125" style="700" customWidth="1"/>
    <col min="8973" max="8973" width="11.7109375" style="700" customWidth="1"/>
    <col min="8974" max="8974" width="10.140625" style="700" customWidth="1"/>
    <col min="8975" max="8975" width="15.85546875" style="700" customWidth="1"/>
    <col min="8976" max="8976" width="3.85546875" style="700" customWidth="1"/>
    <col min="8977" max="8977" width="16.42578125" style="700" customWidth="1"/>
    <col min="8978" max="8978" width="11.28515625" style="700" customWidth="1"/>
    <col min="8979" max="8979" width="10.28515625" style="700" customWidth="1"/>
    <col min="8980" max="8980" width="10" style="700" customWidth="1"/>
    <col min="8981" max="9216" width="9.140625" style="700"/>
    <col min="9217" max="9217" width="4" style="700" customWidth="1"/>
    <col min="9218" max="9218" width="15.140625" style="700" customWidth="1"/>
    <col min="9219" max="9219" width="13.85546875" style="700" customWidth="1"/>
    <col min="9220" max="9220" width="10.140625" style="700" customWidth="1"/>
    <col min="9221" max="9221" width="9.140625" style="700"/>
    <col min="9222" max="9222" width="3.42578125" style="700" customWidth="1"/>
    <col min="9223" max="9223" width="19.5703125" style="700" customWidth="1"/>
    <col min="9224" max="9224" width="12.28515625" style="700" customWidth="1"/>
    <col min="9225" max="9225" width="10.42578125" style="700" customWidth="1"/>
    <col min="9226" max="9226" width="9.140625" style="700"/>
    <col min="9227" max="9227" width="3.5703125" style="700" customWidth="1"/>
    <col min="9228" max="9228" width="16.42578125" style="700" customWidth="1"/>
    <col min="9229" max="9229" width="11.7109375" style="700" customWidth="1"/>
    <col min="9230" max="9230" width="10.140625" style="700" customWidth="1"/>
    <col min="9231" max="9231" width="15.85546875" style="700" customWidth="1"/>
    <col min="9232" max="9232" width="3.85546875" style="700" customWidth="1"/>
    <col min="9233" max="9233" width="16.42578125" style="700" customWidth="1"/>
    <col min="9234" max="9234" width="11.28515625" style="700" customWidth="1"/>
    <col min="9235" max="9235" width="10.28515625" style="700" customWidth="1"/>
    <col min="9236" max="9236" width="10" style="700" customWidth="1"/>
    <col min="9237" max="9472" width="9.140625" style="700"/>
    <col min="9473" max="9473" width="4" style="700" customWidth="1"/>
    <col min="9474" max="9474" width="15.140625" style="700" customWidth="1"/>
    <col min="9475" max="9475" width="13.85546875" style="700" customWidth="1"/>
    <col min="9476" max="9476" width="10.140625" style="700" customWidth="1"/>
    <col min="9477" max="9477" width="9.140625" style="700"/>
    <col min="9478" max="9478" width="3.42578125" style="700" customWidth="1"/>
    <col min="9479" max="9479" width="19.5703125" style="700" customWidth="1"/>
    <col min="9480" max="9480" width="12.28515625" style="700" customWidth="1"/>
    <col min="9481" max="9481" width="10.42578125" style="700" customWidth="1"/>
    <col min="9482" max="9482" width="9.140625" style="700"/>
    <col min="9483" max="9483" width="3.5703125" style="700" customWidth="1"/>
    <col min="9484" max="9484" width="16.42578125" style="700" customWidth="1"/>
    <col min="9485" max="9485" width="11.7109375" style="700" customWidth="1"/>
    <col min="9486" max="9486" width="10.140625" style="700" customWidth="1"/>
    <col min="9487" max="9487" width="15.85546875" style="700" customWidth="1"/>
    <col min="9488" max="9488" width="3.85546875" style="700" customWidth="1"/>
    <col min="9489" max="9489" width="16.42578125" style="700" customWidth="1"/>
    <col min="9490" max="9490" width="11.28515625" style="700" customWidth="1"/>
    <col min="9491" max="9491" width="10.28515625" style="700" customWidth="1"/>
    <col min="9492" max="9492" width="10" style="700" customWidth="1"/>
    <col min="9493" max="9728" width="9.140625" style="700"/>
    <col min="9729" max="9729" width="4" style="700" customWidth="1"/>
    <col min="9730" max="9730" width="15.140625" style="700" customWidth="1"/>
    <col min="9731" max="9731" width="13.85546875" style="700" customWidth="1"/>
    <col min="9732" max="9732" width="10.140625" style="700" customWidth="1"/>
    <col min="9733" max="9733" width="9.140625" style="700"/>
    <col min="9734" max="9734" width="3.42578125" style="700" customWidth="1"/>
    <col min="9735" max="9735" width="19.5703125" style="700" customWidth="1"/>
    <col min="9736" max="9736" width="12.28515625" style="700" customWidth="1"/>
    <col min="9737" max="9737" width="10.42578125" style="700" customWidth="1"/>
    <col min="9738" max="9738" width="9.140625" style="700"/>
    <col min="9739" max="9739" width="3.5703125" style="700" customWidth="1"/>
    <col min="9740" max="9740" width="16.42578125" style="700" customWidth="1"/>
    <col min="9741" max="9741" width="11.7109375" style="700" customWidth="1"/>
    <col min="9742" max="9742" width="10.140625" style="700" customWidth="1"/>
    <col min="9743" max="9743" width="15.85546875" style="700" customWidth="1"/>
    <col min="9744" max="9744" width="3.85546875" style="700" customWidth="1"/>
    <col min="9745" max="9745" width="16.42578125" style="700" customWidth="1"/>
    <col min="9746" max="9746" width="11.28515625" style="700" customWidth="1"/>
    <col min="9747" max="9747" width="10.28515625" style="700" customWidth="1"/>
    <col min="9748" max="9748" width="10" style="700" customWidth="1"/>
    <col min="9749" max="9984" width="9.140625" style="700"/>
    <col min="9985" max="9985" width="4" style="700" customWidth="1"/>
    <col min="9986" max="9986" width="15.140625" style="700" customWidth="1"/>
    <col min="9987" max="9987" width="13.85546875" style="700" customWidth="1"/>
    <col min="9988" max="9988" width="10.140625" style="700" customWidth="1"/>
    <col min="9989" max="9989" width="9.140625" style="700"/>
    <col min="9990" max="9990" width="3.42578125" style="700" customWidth="1"/>
    <col min="9991" max="9991" width="19.5703125" style="700" customWidth="1"/>
    <col min="9992" max="9992" width="12.28515625" style="700" customWidth="1"/>
    <col min="9993" max="9993" width="10.42578125" style="700" customWidth="1"/>
    <col min="9994" max="9994" width="9.140625" style="700"/>
    <col min="9995" max="9995" width="3.5703125" style="700" customWidth="1"/>
    <col min="9996" max="9996" width="16.42578125" style="700" customWidth="1"/>
    <col min="9997" max="9997" width="11.7109375" style="700" customWidth="1"/>
    <col min="9998" max="9998" width="10.140625" style="700" customWidth="1"/>
    <col min="9999" max="9999" width="15.85546875" style="700" customWidth="1"/>
    <col min="10000" max="10000" width="3.85546875" style="700" customWidth="1"/>
    <col min="10001" max="10001" width="16.42578125" style="700" customWidth="1"/>
    <col min="10002" max="10002" width="11.28515625" style="700" customWidth="1"/>
    <col min="10003" max="10003" width="10.28515625" style="700" customWidth="1"/>
    <col min="10004" max="10004" width="10" style="700" customWidth="1"/>
    <col min="10005" max="10240" width="9.140625" style="700"/>
    <col min="10241" max="10241" width="4" style="700" customWidth="1"/>
    <col min="10242" max="10242" width="15.140625" style="700" customWidth="1"/>
    <col min="10243" max="10243" width="13.85546875" style="700" customWidth="1"/>
    <col min="10244" max="10244" width="10.140625" style="700" customWidth="1"/>
    <col min="10245" max="10245" width="9.140625" style="700"/>
    <col min="10246" max="10246" width="3.42578125" style="700" customWidth="1"/>
    <col min="10247" max="10247" width="19.5703125" style="700" customWidth="1"/>
    <col min="10248" max="10248" width="12.28515625" style="700" customWidth="1"/>
    <col min="10249" max="10249" width="10.42578125" style="700" customWidth="1"/>
    <col min="10250" max="10250" width="9.140625" style="700"/>
    <col min="10251" max="10251" width="3.5703125" style="700" customWidth="1"/>
    <col min="10252" max="10252" width="16.42578125" style="700" customWidth="1"/>
    <col min="10253" max="10253" width="11.7109375" style="700" customWidth="1"/>
    <col min="10254" max="10254" width="10.140625" style="700" customWidth="1"/>
    <col min="10255" max="10255" width="15.85546875" style="700" customWidth="1"/>
    <col min="10256" max="10256" width="3.85546875" style="700" customWidth="1"/>
    <col min="10257" max="10257" width="16.42578125" style="700" customWidth="1"/>
    <col min="10258" max="10258" width="11.28515625" style="700" customWidth="1"/>
    <col min="10259" max="10259" width="10.28515625" style="700" customWidth="1"/>
    <col min="10260" max="10260" width="10" style="700" customWidth="1"/>
    <col min="10261" max="10496" width="9.140625" style="700"/>
    <col min="10497" max="10497" width="4" style="700" customWidth="1"/>
    <col min="10498" max="10498" width="15.140625" style="700" customWidth="1"/>
    <col min="10499" max="10499" width="13.85546875" style="700" customWidth="1"/>
    <col min="10500" max="10500" width="10.140625" style="700" customWidth="1"/>
    <col min="10501" max="10501" width="9.140625" style="700"/>
    <col min="10502" max="10502" width="3.42578125" style="700" customWidth="1"/>
    <col min="10503" max="10503" width="19.5703125" style="700" customWidth="1"/>
    <col min="10504" max="10504" width="12.28515625" style="700" customWidth="1"/>
    <col min="10505" max="10505" width="10.42578125" style="700" customWidth="1"/>
    <col min="10506" max="10506" width="9.140625" style="700"/>
    <col min="10507" max="10507" width="3.5703125" style="700" customWidth="1"/>
    <col min="10508" max="10508" width="16.42578125" style="700" customWidth="1"/>
    <col min="10509" max="10509" width="11.7109375" style="700" customWidth="1"/>
    <col min="10510" max="10510" width="10.140625" style="700" customWidth="1"/>
    <col min="10511" max="10511" width="15.85546875" style="700" customWidth="1"/>
    <col min="10512" max="10512" width="3.85546875" style="700" customWidth="1"/>
    <col min="10513" max="10513" width="16.42578125" style="700" customWidth="1"/>
    <col min="10514" max="10514" width="11.28515625" style="700" customWidth="1"/>
    <col min="10515" max="10515" width="10.28515625" style="700" customWidth="1"/>
    <col min="10516" max="10516" width="10" style="700" customWidth="1"/>
    <col min="10517" max="10752" width="9.140625" style="700"/>
    <col min="10753" max="10753" width="4" style="700" customWidth="1"/>
    <col min="10754" max="10754" width="15.140625" style="700" customWidth="1"/>
    <col min="10755" max="10755" width="13.85546875" style="700" customWidth="1"/>
    <col min="10756" max="10756" width="10.140625" style="700" customWidth="1"/>
    <col min="10757" max="10757" width="9.140625" style="700"/>
    <col min="10758" max="10758" width="3.42578125" style="700" customWidth="1"/>
    <col min="10759" max="10759" width="19.5703125" style="700" customWidth="1"/>
    <col min="10760" max="10760" width="12.28515625" style="700" customWidth="1"/>
    <col min="10761" max="10761" width="10.42578125" style="700" customWidth="1"/>
    <col min="10762" max="10762" width="9.140625" style="700"/>
    <col min="10763" max="10763" width="3.5703125" style="700" customWidth="1"/>
    <col min="10764" max="10764" width="16.42578125" style="700" customWidth="1"/>
    <col min="10765" max="10765" width="11.7109375" style="700" customWidth="1"/>
    <col min="10766" max="10766" width="10.140625" style="700" customWidth="1"/>
    <col min="10767" max="10767" width="15.85546875" style="700" customWidth="1"/>
    <col min="10768" max="10768" width="3.85546875" style="700" customWidth="1"/>
    <col min="10769" max="10769" width="16.42578125" style="700" customWidth="1"/>
    <col min="10770" max="10770" width="11.28515625" style="700" customWidth="1"/>
    <col min="10771" max="10771" width="10.28515625" style="700" customWidth="1"/>
    <col min="10772" max="10772" width="10" style="700" customWidth="1"/>
    <col min="10773" max="11008" width="9.140625" style="700"/>
    <col min="11009" max="11009" width="4" style="700" customWidth="1"/>
    <col min="11010" max="11010" width="15.140625" style="700" customWidth="1"/>
    <col min="11011" max="11011" width="13.85546875" style="700" customWidth="1"/>
    <col min="11012" max="11012" width="10.140625" style="700" customWidth="1"/>
    <col min="11013" max="11013" width="9.140625" style="700"/>
    <col min="11014" max="11014" width="3.42578125" style="700" customWidth="1"/>
    <col min="11015" max="11015" width="19.5703125" style="700" customWidth="1"/>
    <col min="11016" max="11016" width="12.28515625" style="700" customWidth="1"/>
    <col min="11017" max="11017" width="10.42578125" style="700" customWidth="1"/>
    <col min="11018" max="11018" width="9.140625" style="700"/>
    <col min="11019" max="11019" width="3.5703125" style="700" customWidth="1"/>
    <col min="11020" max="11020" width="16.42578125" style="700" customWidth="1"/>
    <col min="11021" max="11021" width="11.7109375" style="700" customWidth="1"/>
    <col min="11022" max="11022" width="10.140625" style="700" customWidth="1"/>
    <col min="11023" max="11023" width="15.85546875" style="700" customWidth="1"/>
    <col min="11024" max="11024" width="3.85546875" style="700" customWidth="1"/>
    <col min="11025" max="11025" width="16.42578125" style="700" customWidth="1"/>
    <col min="11026" max="11026" width="11.28515625" style="700" customWidth="1"/>
    <col min="11027" max="11027" width="10.28515625" style="700" customWidth="1"/>
    <col min="11028" max="11028" width="10" style="700" customWidth="1"/>
    <col min="11029" max="11264" width="9.140625" style="700"/>
    <col min="11265" max="11265" width="4" style="700" customWidth="1"/>
    <col min="11266" max="11266" width="15.140625" style="700" customWidth="1"/>
    <col min="11267" max="11267" width="13.85546875" style="700" customWidth="1"/>
    <col min="11268" max="11268" width="10.140625" style="700" customWidth="1"/>
    <col min="11269" max="11269" width="9.140625" style="700"/>
    <col min="11270" max="11270" width="3.42578125" style="700" customWidth="1"/>
    <col min="11271" max="11271" width="19.5703125" style="700" customWidth="1"/>
    <col min="11272" max="11272" width="12.28515625" style="700" customWidth="1"/>
    <col min="11273" max="11273" width="10.42578125" style="700" customWidth="1"/>
    <col min="11274" max="11274" width="9.140625" style="700"/>
    <col min="11275" max="11275" width="3.5703125" style="700" customWidth="1"/>
    <col min="11276" max="11276" width="16.42578125" style="700" customWidth="1"/>
    <col min="11277" max="11277" width="11.7109375" style="700" customWidth="1"/>
    <col min="11278" max="11278" width="10.140625" style="700" customWidth="1"/>
    <col min="11279" max="11279" width="15.85546875" style="700" customWidth="1"/>
    <col min="11280" max="11280" width="3.85546875" style="700" customWidth="1"/>
    <col min="11281" max="11281" width="16.42578125" style="700" customWidth="1"/>
    <col min="11282" max="11282" width="11.28515625" style="700" customWidth="1"/>
    <col min="11283" max="11283" width="10.28515625" style="700" customWidth="1"/>
    <col min="11284" max="11284" width="10" style="700" customWidth="1"/>
    <col min="11285" max="11520" width="9.140625" style="700"/>
    <col min="11521" max="11521" width="4" style="700" customWidth="1"/>
    <col min="11522" max="11522" width="15.140625" style="700" customWidth="1"/>
    <col min="11523" max="11523" width="13.85546875" style="700" customWidth="1"/>
    <col min="11524" max="11524" width="10.140625" style="700" customWidth="1"/>
    <col min="11525" max="11525" width="9.140625" style="700"/>
    <col min="11526" max="11526" width="3.42578125" style="700" customWidth="1"/>
    <col min="11527" max="11527" width="19.5703125" style="700" customWidth="1"/>
    <col min="11528" max="11528" width="12.28515625" style="700" customWidth="1"/>
    <col min="11529" max="11529" width="10.42578125" style="700" customWidth="1"/>
    <col min="11530" max="11530" width="9.140625" style="700"/>
    <col min="11531" max="11531" width="3.5703125" style="700" customWidth="1"/>
    <col min="11532" max="11532" width="16.42578125" style="700" customWidth="1"/>
    <col min="11533" max="11533" width="11.7109375" style="700" customWidth="1"/>
    <col min="11534" max="11534" width="10.140625" style="700" customWidth="1"/>
    <col min="11535" max="11535" width="15.85546875" style="700" customWidth="1"/>
    <col min="11536" max="11536" width="3.85546875" style="700" customWidth="1"/>
    <col min="11537" max="11537" width="16.42578125" style="700" customWidth="1"/>
    <col min="11538" max="11538" width="11.28515625" style="700" customWidth="1"/>
    <col min="11539" max="11539" width="10.28515625" style="700" customWidth="1"/>
    <col min="11540" max="11540" width="10" style="700" customWidth="1"/>
    <col min="11541" max="11776" width="9.140625" style="700"/>
    <col min="11777" max="11777" width="4" style="700" customWidth="1"/>
    <col min="11778" max="11778" width="15.140625" style="700" customWidth="1"/>
    <col min="11779" max="11779" width="13.85546875" style="700" customWidth="1"/>
    <col min="11780" max="11780" width="10.140625" style="700" customWidth="1"/>
    <col min="11781" max="11781" width="9.140625" style="700"/>
    <col min="11782" max="11782" width="3.42578125" style="700" customWidth="1"/>
    <col min="11783" max="11783" width="19.5703125" style="700" customWidth="1"/>
    <col min="11784" max="11784" width="12.28515625" style="700" customWidth="1"/>
    <col min="11785" max="11785" width="10.42578125" style="700" customWidth="1"/>
    <col min="11786" max="11786" width="9.140625" style="700"/>
    <col min="11787" max="11787" width="3.5703125" style="700" customWidth="1"/>
    <col min="11788" max="11788" width="16.42578125" style="700" customWidth="1"/>
    <col min="11789" max="11789" width="11.7109375" style="700" customWidth="1"/>
    <col min="11790" max="11790" width="10.140625" style="700" customWidth="1"/>
    <col min="11791" max="11791" width="15.85546875" style="700" customWidth="1"/>
    <col min="11792" max="11792" width="3.85546875" style="700" customWidth="1"/>
    <col min="11793" max="11793" width="16.42578125" style="700" customWidth="1"/>
    <col min="11794" max="11794" width="11.28515625" style="700" customWidth="1"/>
    <col min="11795" max="11795" width="10.28515625" style="700" customWidth="1"/>
    <col min="11796" max="11796" width="10" style="700" customWidth="1"/>
    <col min="11797" max="12032" width="9.140625" style="700"/>
    <col min="12033" max="12033" width="4" style="700" customWidth="1"/>
    <col min="12034" max="12034" width="15.140625" style="700" customWidth="1"/>
    <col min="12035" max="12035" width="13.85546875" style="700" customWidth="1"/>
    <col min="12036" max="12036" width="10.140625" style="700" customWidth="1"/>
    <col min="12037" max="12037" width="9.140625" style="700"/>
    <col min="12038" max="12038" width="3.42578125" style="700" customWidth="1"/>
    <col min="12039" max="12039" width="19.5703125" style="700" customWidth="1"/>
    <col min="12040" max="12040" width="12.28515625" style="700" customWidth="1"/>
    <col min="12041" max="12041" width="10.42578125" style="700" customWidth="1"/>
    <col min="12042" max="12042" width="9.140625" style="700"/>
    <col min="12043" max="12043" width="3.5703125" style="700" customWidth="1"/>
    <col min="12044" max="12044" width="16.42578125" style="700" customWidth="1"/>
    <col min="12045" max="12045" width="11.7109375" style="700" customWidth="1"/>
    <col min="12046" max="12046" width="10.140625" style="700" customWidth="1"/>
    <col min="12047" max="12047" width="15.85546875" style="700" customWidth="1"/>
    <col min="12048" max="12048" width="3.85546875" style="700" customWidth="1"/>
    <col min="12049" max="12049" width="16.42578125" style="700" customWidth="1"/>
    <col min="12050" max="12050" width="11.28515625" style="700" customWidth="1"/>
    <col min="12051" max="12051" width="10.28515625" style="700" customWidth="1"/>
    <col min="12052" max="12052" width="10" style="700" customWidth="1"/>
    <col min="12053" max="12288" width="9.140625" style="700"/>
    <col min="12289" max="12289" width="4" style="700" customWidth="1"/>
    <col min="12290" max="12290" width="15.140625" style="700" customWidth="1"/>
    <col min="12291" max="12291" width="13.85546875" style="700" customWidth="1"/>
    <col min="12292" max="12292" width="10.140625" style="700" customWidth="1"/>
    <col min="12293" max="12293" width="9.140625" style="700"/>
    <col min="12294" max="12294" width="3.42578125" style="700" customWidth="1"/>
    <col min="12295" max="12295" width="19.5703125" style="700" customWidth="1"/>
    <col min="12296" max="12296" width="12.28515625" style="700" customWidth="1"/>
    <col min="12297" max="12297" width="10.42578125" style="700" customWidth="1"/>
    <col min="12298" max="12298" width="9.140625" style="700"/>
    <col min="12299" max="12299" width="3.5703125" style="700" customWidth="1"/>
    <col min="12300" max="12300" width="16.42578125" style="700" customWidth="1"/>
    <col min="12301" max="12301" width="11.7109375" style="700" customWidth="1"/>
    <col min="12302" max="12302" width="10.140625" style="700" customWidth="1"/>
    <col min="12303" max="12303" width="15.85546875" style="700" customWidth="1"/>
    <col min="12304" max="12304" width="3.85546875" style="700" customWidth="1"/>
    <col min="12305" max="12305" width="16.42578125" style="700" customWidth="1"/>
    <col min="12306" max="12306" width="11.28515625" style="700" customWidth="1"/>
    <col min="12307" max="12307" width="10.28515625" style="700" customWidth="1"/>
    <col min="12308" max="12308" width="10" style="700" customWidth="1"/>
    <col min="12309" max="12544" width="9.140625" style="700"/>
    <col min="12545" max="12545" width="4" style="700" customWidth="1"/>
    <col min="12546" max="12546" width="15.140625" style="700" customWidth="1"/>
    <col min="12547" max="12547" width="13.85546875" style="700" customWidth="1"/>
    <col min="12548" max="12548" width="10.140625" style="700" customWidth="1"/>
    <col min="12549" max="12549" width="9.140625" style="700"/>
    <col min="12550" max="12550" width="3.42578125" style="700" customWidth="1"/>
    <col min="12551" max="12551" width="19.5703125" style="700" customWidth="1"/>
    <col min="12552" max="12552" width="12.28515625" style="700" customWidth="1"/>
    <col min="12553" max="12553" width="10.42578125" style="700" customWidth="1"/>
    <col min="12554" max="12554" width="9.140625" style="700"/>
    <col min="12555" max="12555" width="3.5703125" style="700" customWidth="1"/>
    <col min="12556" max="12556" width="16.42578125" style="700" customWidth="1"/>
    <col min="12557" max="12557" width="11.7109375" style="700" customWidth="1"/>
    <col min="12558" max="12558" width="10.140625" style="700" customWidth="1"/>
    <col min="12559" max="12559" width="15.85546875" style="700" customWidth="1"/>
    <col min="12560" max="12560" width="3.85546875" style="700" customWidth="1"/>
    <col min="12561" max="12561" width="16.42578125" style="700" customWidth="1"/>
    <col min="12562" max="12562" width="11.28515625" style="700" customWidth="1"/>
    <col min="12563" max="12563" width="10.28515625" style="700" customWidth="1"/>
    <col min="12564" max="12564" width="10" style="700" customWidth="1"/>
    <col min="12565" max="12800" width="9.140625" style="700"/>
    <col min="12801" max="12801" width="4" style="700" customWidth="1"/>
    <col min="12802" max="12802" width="15.140625" style="700" customWidth="1"/>
    <col min="12803" max="12803" width="13.85546875" style="700" customWidth="1"/>
    <col min="12804" max="12804" width="10.140625" style="700" customWidth="1"/>
    <col min="12805" max="12805" width="9.140625" style="700"/>
    <col min="12806" max="12806" width="3.42578125" style="700" customWidth="1"/>
    <col min="12807" max="12807" width="19.5703125" style="700" customWidth="1"/>
    <col min="12808" max="12808" width="12.28515625" style="700" customWidth="1"/>
    <col min="12809" max="12809" width="10.42578125" style="700" customWidth="1"/>
    <col min="12810" max="12810" width="9.140625" style="700"/>
    <col min="12811" max="12811" width="3.5703125" style="700" customWidth="1"/>
    <col min="12812" max="12812" width="16.42578125" style="700" customWidth="1"/>
    <col min="12813" max="12813" width="11.7109375" style="700" customWidth="1"/>
    <col min="12814" max="12814" width="10.140625" style="700" customWidth="1"/>
    <col min="12815" max="12815" width="15.85546875" style="700" customWidth="1"/>
    <col min="12816" max="12816" width="3.85546875" style="700" customWidth="1"/>
    <col min="12817" max="12817" width="16.42578125" style="700" customWidth="1"/>
    <col min="12818" max="12818" width="11.28515625" style="700" customWidth="1"/>
    <col min="12819" max="12819" width="10.28515625" style="700" customWidth="1"/>
    <col min="12820" max="12820" width="10" style="700" customWidth="1"/>
    <col min="12821" max="13056" width="9.140625" style="700"/>
    <col min="13057" max="13057" width="4" style="700" customWidth="1"/>
    <col min="13058" max="13058" width="15.140625" style="700" customWidth="1"/>
    <col min="13059" max="13059" width="13.85546875" style="700" customWidth="1"/>
    <col min="13060" max="13060" width="10.140625" style="700" customWidth="1"/>
    <col min="13061" max="13061" width="9.140625" style="700"/>
    <col min="13062" max="13062" width="3.42578125" style="700" customWidth="1"/>
    <col min="13063" max="13063" width="19.5703125" style="700" customWidth="1"/>
    <col min="13064" max="13064" width="12.28515625" style="700" customWidth="1"/>
    <col min="13065" max="13065" width="10.42578125" style="700" customWidth="1"/>
    <col min="13066" max="13066" width="9.140625" style="700"/>
    <col min="13067" max="13067" width="3.5703125" style="700" customWidth="1"/>
    <col min="13068" max="13068" width="16.42578125" style="700" customWidth="1"/>
    <col min="13069" max="13069" width="11.7109375" style="700" customWidth="1"/>
    <col min="13070" max="13070" width="10.140625" style="700" customWidth="1"/>
    <col min="13071" max="13071" width="15.85546875" style="700" customWidth="1"/>
    <col min="13072" max="13072" width="3.85546875" style="700" customWidth="1"/>
    <col min="13073" max="13073" width="16.42578125" style="700" customWidth="1"/>
    <col min="13074" max="13074" width="11.28515625" style="700" customWidth="1"/>
    <col min="13075" max="13075" width="10.28515625" style="700" customWidth="1"/>
    <col min="13076" max="13076" width="10" style="700" customWidth="1"/>
    <col min="13077" max="13312" width="9.140625" style="700"/>
    <col min="13313" max="13313" width="4" style="700" customWidth="1"/>
    <col min="13314" max="13314" width="15.140625" style="700" customWidth="1"/>
    <col min="13315" max="13315" width="13.85546875" style="700" customWidth="1"/>
    <col min="13316" max="13316" width="10.140625" style="700" customWidth="1"/>
    <col min="13317" max="13317" width="9.140625" style="700"/>
    <col min="13318" max="13318" width="3.42578125" style="700" customWidth="1"/>
    <col min="13319" max="13319" width="19.5703125" style="700" customWidth="1"/>
    <col min="13320" max="13320" width="12.28515625" style="700" customWidth="1"/>
    <col min="13321" max="13321" width="10.42578125" style="700" customWidth="1"/>
    <col min="13322" max="13322" width="9.140625" style="700"/>
    <col min="13323" max="13323" width="3.5703125" style="700" customWidth="1"/>
    <col min="13324" max="13324" width="16.42578125" style="700" customWidth="1"/>
    <col min="13325" max="13325" width="11.7109375" style="700" customWidth="1"/>
    <col min="13326" max="13326" width="10.140625" style="700" customWidth="1"/>
    <col min="13327" max="13327" width="15.85546875" style="700" customWidth="1"/>
    <col min="13328" max="13328" width="3.85546875" style="700" customWidth="1"/>
    <col min="13329" max="13329" width="16.42578125" style="700" customWidth="1"/>
    <col min="13330" max="13330" width="11.28515625" style="700" customWidth="1"/>
    <col min="13331" max="13331" width="10.28515625" style="700" customWidth="1"/>
    <col min="13332" max="13332" width="10" style="700" customWidth="1"/>
    <col min="13333" max="13568" width="9.140625" style="700"/>
    <col min="13569" max="13569" width="4" style="700" customWidth="1"/>
    <col min="13570" max="13570" width="15.140625" style="700" customWidth="1"/>
    <col min="13571" max="13571" width="13.85546875" style="700" customWidth="1"/>
    <col min="13572" max="13572" width="10.140625" style="700" customWidth="1"/>
    <col min="13573" max="13573" width="9.140625" style="700"/>
    <col min="13574" max="13574" width="3.42578125" style="700" customWidth="1"/>
    <col min="13575" max="13575" width="19.5703125" style="700" customWidth="1"/>
    <col min="13576" max="13576" width="12.28515625" style="700" customWidth="1"/>
    <col min="13577" max="13577" width="10.42578125" style="700" customWidth="1"/>
    <col min="13578" max="13578" width="9.140625" style="700"/>
    <col min="13579" max="13579" width="3.5703125" style="700" customWidth="1"/>
    <col min="13580" max="13580" width="16.42578125" style="700" customWidth="1"/>
    <col min="13581" max="13581" width="11.7109375" style="700" customWidth="1"/>
    <col min="13582" max="13582" width="10.140625" style="700" customWidth="1"/>
    <col min="13583" max="13583" width="15.85546875" style="700" customWidth="1"/>
    <col min="13584" max="13584" width="3.85546875" style="700" customWidth="1"/>
    <col min="13585" max="13585" width="16.42578125" style="700" customWidth="1"/>
    <col min="13586" max="13586" width="11.28515625" style="700" customWidth="1"/>
    <col min="13587" max="13587" width="10.28515625" style="700" customWidth="1"/>
    <col min="13588" max="13588" width="10" style="700" customWidth="1"/>
    <col min="13589" max="13824" width="9.140625" style="700"/>
    <col min="13825" max="13825" width="4" style="700" customWidth="1"/>
    <col min="13826" max="13826" width="15.140625" style="700" customWidth="1"/>
    <col min="13827" max="13827" width="13.85546875" style="700" customWidth="1"/>
    <col min="13828" max="13828" width="10.140625" style="700" customWidth="1"/>
    <col min="13829" max="13829" width="9.140625" style="700"/>
    <col min="13830" max="13830" width="3.42578125" style="700" customWidth="1"/>
    <col min="13831" max="13831" width="19.5703125" style="700" customWidth="1"/>
    <col min="13832" max="13832" width="12.28515625" style="700" customWidth="1"/>
    <col min="13833" max="13833" width="10.42578125" style="700" customWidth="1"/>
    <col min="13834" max="13834" width="9.140625" style="700"/>
    <col min="13835" max="13835" width="3.5703125" style="700" customWidth="1"/>
    <col min="13836" max="13836" width="16.42578125" style="700" customWidth="1"/>
    <col min="13837" max="13837" width="11.7109375" style="700" customWidth="1"/>
    <col min="13838" max="13838" width="10.140625" style="700" customWidth="1"/>
    <col min="13839" max="13839" width="15.85546875" style="700" customWidth="1"/>
    <col min="13840" max="13840" width="3.85546875" style="700" customWidth="1"/>
    <col min="13841" max="13841" width="16.42578125" style="700" customWidth="1"/>
    <col min="13842" max="13842" width="11.28515625" style="700" customWidth="1"/>
    <col min="13843" max="13843" width="10.28515625" style="700" customWidth="1"/>
    <col min="13844" max="13844" width="10" style="700" customWidth="1"/>
    <col min="13845" max="14080" width="9.140625" style="700"/>
    <col min="14081" max="14081" width="4" style="700" customWidth="1"/>
    <col min="14082" max="14082" width="15.140625" style="700" customWidth="1"/>
    <col min="14083" max="14083" width="13.85546875" style="700" customWidth="1"/>
    <col min="14084" max="14084" width="10.140625" style="700" customWidth="1"/>
    <col min="14085" max="14085" width="9.140625" style="700"/>
    <col min="14086" max="14086" width="3.42578125" style="700" customWidth="1"/>
    <col min="14087" max="14087" width="19.5703125" style="700" customWidth="1"/>
    <col min="14088" max="14088" width="12.28515625" style="700" customWidth="1"/>
    <col min="14089" max="14089" width="10.42578125" style="700" customWidth="1"/>
    <col min="14090" max="14090" width="9.140625" style="700"/>
    <col min="14091" max="14091" width="3.5703125" style="700" customWidth="1"/>
    <col min="14092" max="14092" width="16.42578125" style="700" customWidth="1"/>
    <col min="14093" max="14093" width="11.7109375" style="700" customWidth="1"/>
    <col min="14094" max="14094" width="10.140625" style="700" customWidth="1"/>
    <col min="14095" max="14095" width="15.85546875" style="700" customWidth="1"/>
    <col min="14096" max="14096" width="3.85546875" style="700" customWidth="1"/>
    <col min="14097" max="14097" width="16.42578125" style="700" customWidth="1"/>
    <col min="14098" max="14098" width="11.28515625" style="700" customWidth="1"/>
    <col min="14099" max="14099" width="10.28515625" style="700" customWidth="1"/>
    <col min="14100" max="14100" width="10" style="700" customWidth="1"/>
    <col min="14101" max="14336" width="9.140625" style="700"/>
    <col min="14337" max="14337" width="4" style="700" customWidth="1"/>
    <col min="14338" max="14338" width="15.140625" style="700" customWidth="1"/>
    <col min="14339" max="14339" width="13.85546875" style="700" customWidth="1"/>
    <col min="14340" max="14340" width="10.140625" style="700" customWidth="1"/>
    <col min="14341" max="14341" width="9.140625" style="700"/>
    <col min="14342" max="14342" width="3.42578125" style="700" customWidth="1"/>
    <col min="14343" max="14343" width="19.5703125" style="700" customWidth="1"/>
    <col min="14344" max="14344" width="12.28515625" style="700" customWidth="1"/>
    <col min="14345" max="14345" width="10.42578125" style="700" customWidth="1"/>
    <col min="14346" max="14346" width="9.140625" style="700"/>
    <col min="14347" max="14347" width="3.5703125" style="700" customWidth="1"/>
    <col min="14348" max="14348" width="16.42578125" style="700" customWidth="1"/>
    <col min="14349" max="14349" width="11.7109375" style="700" customWidth="1"/>
    <col min="14350" max="14350" width="10.140625" style="700" customWidth="1"/>
    <col min="14351" max="14351" width="15.85546875" style="700" customWidth="1"/>
    <col min="14352" max="14352" width="3.85546875" style="700" customWidth="1"/>
    <col min="14353" max="14353" width="16.42578125" style="700" customWidth="1"/>
    <col min="14354" max="14354" width="11.28515625" style="700" customWidth="1"/>
    <col min="14355" max="14355" width="10.28515625" style="700" customWidth="1"/>
    <col min="14356" max="14356" width="10" style="700" customWidth="1"/>
    <col min="14357" max="14592" width="9.140625" style="700"/>
    <col min="14593" max="14593" width="4" style="700" customWidth="1"/>
    <col min="14594" max="14594" width="15.140625" style="700" customWidth="1"/>
    <col min="14595" max="14595" width="13.85546875" style="700" customWidth="1"/>
    <col min="14596" max="14596" width="10.140625" style="700" customWidth="1"/>
    <col min="14597" max="14597" width="9.140625" style="700"/>
    <col min="14598" max="14598" width="3.42578125" style="700" customWidth="1"/>
    <col min="14599" max="14599" width="19.5703125" style="700" customWidth="1"/>
    <col min="14600" max="14600" width="12.28515625" style="700" customWidth="1"/>
    <col min="14601" max="14601" width="10.42578125" style="700" customWidth="1"/>
    <col min="14602" max="14602" width="9.140625" style="700"/>
    <col min="14603" max="14603" width="3.5703125" style="700" customWidth="1"/>
    <col min="14604" max="14604" width="16.42578125" style="700" customWidth="1"/>
    <col min="14605" max="14605" width="11.7109375" style="700" customWidth="1"/>
    <col min="14606" max="14606" width="10.140625" style="700" customWidth="1"/>
    <col min="14607" max="14607" width="15.85546875" style="700" customWidth="1"/>
    <col min="14608" max="14608" width="3.85546875" style="700" customWidth="1"/>
    <col min="14609" max="14609" width="16.42578125" style="700" customWidth="1"/>
    <col min="14610" max="14610" width="11.28515625" style="700" customWidth="1"/>
    <col min="14611" max="14611" width="10.28515625" style="700" customWidth="1"/>
    <col min="14612" max="14612" width="10" style="700" customWidth="1"/>
    <col min="14613" max="14848" width="9.140625" style="700"/>
    <col min="14849" max="14849" width="4" style="700" customWidth="1"/>
    <col min="14850" max="14850" width="15.140625" style="700" customWidth="1"/>
    <col min="14851" max="14851" width="13.85546875" style="700" customWidth="1"/>
    <col min="14852" max="14852" width="10.140625" style="700" customWidth="1"/>
    <col min="14853" max="14853" width="9.140625" style="700"/>
    <col min="14854" max="14854" width="3.42578125" style="700" customWidth="1"/>
    <col min="14855" max="14855" width="19.5703125" style="700" customWidth="1"/>
    <col min="14856" max="14856" width="12.28515625" style="700" customWidth="1"/>
    <col min="14857" max="14857" width="10.42578125" style="700" customWidth="1"/>
    <col min="14858" max="14858" width="9.140625" style="700"/>
    <col min="14859" max="14859" width="3.5703125" style="700" customWidth="1"/>
    <col min="14860" max="14860" width="16.42578125" style="700" customWidth="1"/>
    <col min="14861" max="14861" width="11.7109375" style="700" customWidth="1"/>
    <col min="14862" max="14862" width="10.140625" style="700" customWidth="1"/>
    <col min="14863" max="14863" width="15.85546875" style="700" customWidth="1"/>
    <col min="14864" max="14864" width="3.85546875" style="700" customWidth="1"/>
    <col min="14865" max="14865" width="16.42578125" style="700" customWidth="1"/>
    <col min="14866" max="14866" width="11.28515625" style="700" customWidth="1"/>
    <col min="14867" max="14867" width="10.28515625" style="700" customWidth="1"/>
    <col min="14868" max="14868" width="10" style="700" customWidth="1"/>
    <col min="14869" max="15104" width="9.140625" style="700"/>
    <col min="15105" max="15105" width="4" style="700" customWidth="1"/>
    <col min="15106" max="15106" width="15.140625" style="700" customWidth="1"/>
    <col min="15107" max="15107" width="13.85546875" style="700" customWidth="1"/>
    <col min="15108" max="15108" width="10.140625" style="700" customWidth="1"/>
    <col min="15109" max="15109" width="9.140625" style="700"/>
    <col min="15110" max="15110" width="3.42578125" style="700" customWidth="1"/>
    <col min="15111" max="15111" width="19.5703125" style="700" customWidth="1"/>
    <col min="15112" max="15112" width="12.28515625" style="700" customWidth="1"/>
    <col min="15113" max="15113" width="10.42578125" style="700" customWidth="1"/>
    <col min="15114" max="15114" width="9.140625" style="700"/>
    <col min="15115" max="15115" width="3.5703125" style="700" customWidth="1"/>
    <col min="15116" max="15116" width="16.42578125" style="700" customWidth="1"/>
    <col min="15117" max="15117" width="11.7109375" style="700" customWidth="1"/>
    <col min="15118" max="15118" width="10.140625" style="700" customWidth="1"/>
    <col min="15119" max="15119" width="15.85546875" style="700" customWidth="1"/>
    <col min="15120" max="15120" width="3.85546875" style="700" customWidth="1"/>
    <col min="15121" max="15121" width="16.42578125" style="700" customWidth="1"/>
    <col min="15122" max="15122" width="11.28515625" style="700" customWidth="1"/>
    <col min="15123" max="15123" width="10.28515625" style="700" customWidth="1"/>
    <col min="15124" max="15124" width="10" style="700" customWidth="1"/>
    <col min="15125" max="15360" width="9.140625" style="700"/>
    <col min="15361" max="15361" width="4" style="700" customWidth="1"/>
    <col min="15362" max="15362" width="15.140625" style="700" customWidth="1"/>
    <col min="15363" max="15363" width="13.85546875" style="700" customWidth="1"/>
    <col min="15364" max="15364" width="10.140625" style="700" customWidth="1"/>
    <col min="15365" max="15365" width="9.140625" style="700"/>
    <col min="15366" max="15366" width="3.42578125" style="700" customWidth="1"/>
    <col min="15367" max="15367" width="19.5703125" style="700" customWidth="1"/>
    <col min="15368" max="15368" width="12.28515625" style="700" customWidth="1"/>
    <col min="15369" max="15369" width="10.42578125" style="700" customWidth="1"/>
    <col min="15370" max="15370" width="9.140625" style="700"/>
    <col min="15371" max="15371" width="3.5703125" style="700" customWidth="1"/>
    <col min="15372" max="15372" width="16.42578125" style="700" customWidth="1"/>
    <col min="15373" max="15373" width="11.7109375" style="700" customWidth="1"/>
    <col min="15374" max="15374" width="10.140625" style="700" customWidth="1"/>
    <col min="15375" max="15375" width="15.85546875" style="700" customWidth="1"/>
    <col min="15376" max="15376" width="3.85546875" style="700" customWidth="1"/>
    <col min="15377" max="15377" width="16.42578125" style="700" customWidth="1"/>
    <col min="15378" max="15378" width="11.28515625" style="700" customWidth="1"/>
    <col min="15379" max="15379" width="10.28515625" style="700" customWidth="1"/>
    <col min="15380" max="15380" width="10" style="700" customWidth="1"/>
    <col min="15381" max="15616" width="9.140625" style="700"/>
    <col min="15617" max="15617" width="4" style="700" customWidth="1"/>
    <col min="15618" max="15618" width="15.140625" style="700" customWidth="1"/>
    <col min="15619" max="15619" width="13.85546875" style="700" customWidth="1"/>
    <col min="15620" max="15620" width="10.140625" style="700" customWidth="1"/>
    <col min="15621" max="15621" width="9.140625" style="700"/>
    <col min="15622" max="15622" width="3.42578125" style="700" customWidth="1"/>
    <col min="15623" max="15623" width="19.5703125" style="700" customWidth="1"/>
    <col min="15624" max="15624" width="12.28515625" style="700" customWidth="1"/>
    <col min="15625" max="15625" width="10.42578125" style="700" customWidth="1"/>
    <col min="15626" max="15626" width="9.140625" style="700"/>
    <col min="15627" max="15627" width="3.5703125" style="700" customWidth="1"/>
    <col min="15628" max="15628" width="16.42578125" style="700" customWidth="1"/>
    <col min="15629" max="15629" width="11.7109375" style="700" customWidth="1"/>
    <col min="15630" max="15630" width="10.140625" style="700" customWidth="1"/>
    <col min="15631" max="15631" width="15.85546875" style="700" customWidth="1"/>
    <col min="15632" max="15632" width="3.85546875" style="700" customWidth="1"/>
    <col min="15633" max="15633" width="16.42578125" style="700" customWidth="1"/>
    <col min="15634" max="15634" width="11.28515625" style="700" customWidth="1"/>
    <col min="15635" max="15635" width="10.28515625" style="700" customWidth="1"/>
    <col min="15636" max="15636" width="10" style="700" customWidth="1"/>
    <col min="15637" max="15872" width="9.140625" style="700"/>
    <col min="15873" max="15873" width="4" style="700" customWidth="1"/>
    <col min="15874" max="15874" width="15.140625" style="700" customWidth="1"/>
    <col min="15875" max="15875" width="13.85546875" style="700" customWidth="1"/>
    <col min="15876" max="15876" width="10.140625" style="700" customWidth="1"/>
    <col min="15877" max="15877" width="9.140625" style="700"/>
    <col min="15878" max="15878" width="3.42578125" style="700" customWidth="1"/>
    <col min="15879" max="15879" width="19.5703125" style="700" customWidth="1"/>
    <col min="15880" max="15880" width="12.28515625" style="700" customWidth="1"/>
    <col min="15881" max="15881" width="10.42578125" style="700" customWidth="1"/>
    <col min="15882" max="15882" width="9.140625" style="700"/>
    <col min="15883" max="15883" width="3.5703125" style="700" customWidth="1"/>
    <col min="15884" max="15884" width="16.42578125" style="700" customWidth="1"/>
    <col min="15885" max="15885" width="11.7109375" style="700" customWidth="1"/>
    <col min="15886" max="15886" width="10.140625" style="700" customWidth="1"/>
    <col min="15887" max="15887" width="15.85546875" style="700" customWidth="1"/>
    <col min="15888" max="15888" width="3.85546875" style="700" customWidth="1"/>
    <col min="15889" max="15889" width="16.42578125" style="700" customWidth="1"/>
    <col min="15890" max="15890" width="11.28515625" style="700" customWidth="1"/>
    <col min="15891" max="15891" width="10.28515625" style="700" customWidth="1"/>
    <col min="15892" max="15892" width="10" style="700" customWidth="1"/>
    <col min="15893" max="16128" width="9.140625" style="700"/>
    <col min="16129" max="16129" width="4" style="700" customWidth="1"/>
    <col min="16130" max="16130" width="15.140625" style="700" customWidth="1"/>
    <col min="16131" max="16131" width="13.85546875" style="700" customWidth="1"/>
    <col min="16132" max="16132" width="10.140625" style="700" customWidth="1"/>
    <col min="16133" max="16133" width="9.140625" style="700"/>
    <col min="16134" max="16134" width="3.42578125" style="700" customWidth="1"/>
    <col min="16135" max="16135" width="19.5703125" style="700" customWidth="1"/>
    <col min="16136" max="16136" width="12.28515625" style="700" customWidth="1"/>
    <col min="16137" max="16137" width="10.42578125" style="700" customWidth="1"/>
    <col min="16138" max="16138" width="9.140625" style="700"/>
    <col min="16139" max="16139" width="3.5703125" style="700" customWidth="1"/>
    <col min="16140" max="16140" width="16.42578125" style="700" customWidth="1"/>
    <col min="16141" max="16141" width="11.7109375" style="700" customWidth="1"/>
    <col min="16142" max="16142" width="10.140625" style="700" customWidth="1"/>
    <col min="16143" max="16143" width="15.85546875" style="700" customWidth="1"/>
    <col min="16144" max="16144" width="3.85546875" style="700" customWidth="1"/>
    <col min="16145" max="16145" width="16.42578125" style="700" customWidth="1"/>
    <col min="16146" max="16146" width="11.28515625" style="700" customWidth="1"/>
    <col min="16147" max="16147" width="10.28515625" style="700" customWidth="1"/>
    <col min="16148" max="16148" width="10" style="700" customWidth="1"/>
    <col min="16149" max="16384" width="9.140625" style="700"/>
  </cols>
  <sheetData>
    <row r="1" spans="2:28" ht="18.75">
      <c r="B1" s="608" t="s">
        <v>307</v>
      </c>
    </row>
    <row r="2" spans="2:28" ht="18" customHeight="1">
      <c r="B2" s="1232" t="s">
        <v>373</v>
      </c>
      <c r="C2" s="1232"/>
      <c r="D2" s="1232"/>
      <c r="E2" s="1232"/>
      <c r="F2" s="1232"/>
      <c r="G2" s="1232"/>
      <c r="H2" s="1232"/>
      <c r="I2" s="1232"/>
      <c r="J2" s="1232"/>
      <c r="K2" s="1232"/>
      <c r="L2" s="1232"/>
      <c r="M2" s="1232"/>
      <c r="N2" s="1232"/>
      <c r="O2" s="1232"/>
      <c r="P2" s="1232"/>
      <c r="Q2" s="1232"/>
      <c r="R2" s="1232"/>
      <c r="S2" s="1232"/>
      <c r="T2" s="1232"/>
      <c r="U2" s="1232"/>
      <c r="V2" s="1232"/>
      <c r="W2" s="1232"/>
      <c r="X2" s="1232"/>
      <c r="Y2" s="1232"/>
      <c r="Z2" s="1232"/>
      <c r="AA2" s="1232"/>
      <c r="AB2" s="1232"/>
    </row>
    <row r="3" spans="2:28" ht="18" customHeight="1">
      <c r="B3" s="1235" t="s">
        <v>371</v>
      </c>
      <c r="C3" s="1235"/>
      <c r="D3" s="1235"/>
      <c r="E3" s="1235"/>
      <c r="F3" s="1235"/>
      <c r="G3" s="1235"/>
      <c r="H3" s="1235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6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7" t="s">
        <v>213</v>
      </c>
      <c r="C8" s="624">
        <v>1743.4469999999999</v>
      </c>
      <c r="D8" s="624">
        <v>4662</v>
      </c>
      <c r="E8" s="786">
        <v>2.3392804431014955</v>
      </c>
      <c r="F8" s="898"/>
      <c r="G8" s="897" t="s">
        <v>213</v>
      </c>
      <c r="H8" s="624">
        <v>696.26499999999999</v>
      </c>
      <c r="I8" s="994">
        <v>2604</v>
      </c>
      <c r="J8" s="995">
        <v>3.7720766697005157</v>
      </c>
      <c r="K8" s="701"/>
      <c r="L8" s="801" t="s">
        <v>197</v>
      </c>
      <c r="M8" s="624">
        <v>1040.636</v>
      </c>
      <c r="N8" s="624">
        <v>265.17599999999999</v>
      </c>
      <c r="O8" s="786">
        <v>3.9243219597550305</v>
      </c>
      <c r="P8" s="701"/>
      <c r="Q8" s="801" t="s">
        <v>311</v>
      </c>
      <c r="R8" s="624">
        <v>373.49700000000001</v>
      </c>
      <c r="S8" s="624">
        <v>68.733999999999995</v>
      </c>
      <c r="T8" s="786">
        <v>5.4339482643233339</v>
      </c>
    </row>
    <row r="9" spans="2:28" ht="15.75">
      <c r="B9" s="627" t="s">
        <v>209</v>
      </c>
      <c r="C9" s="628">
        <v>1607.944</v>
      </c>
      <c r="D9" s="628">
        <v>2283</v>
      </c>
      <c r="E9" s="686">
        <v>2.3430570673754367</v>
      </c>
      <c r="F9" s="899"/>
      <c r="G9" s="629" t="s">
        <v>217</v>
      </c>
      <c r="H9" s="628">
        <v>47.743000000000002</v>
      </c>
      <c r="I9" s="630">
        <v>322</v>
      </c>
      <c r="J9" s="687">
        <v>2.1132701841359776</v>
      </c>
      <c r="K9" s="701"/>
      <c r="L9" s="627" t="s">
        <v>216</v>
      </c>
      <c r="M9" s="628">
        <v>707.28300000000002</v>
      </c>
      <c r="N9" s="628">
        <v>278.28800000000001</v>
      </c>
      <c r="O9" s="686">
        <v>2.5415504800781923</v>
      </c>
      <c r="P9" s="701"/>
      <c r="Q9" s="627" t="s">
        <v>199</v>
      </c>
      <c r="R9" s="628">
        <v>332.45</v>
      </c>
      <c r="S9" s="628">
        <v>102.884</v>
      </c>
      <c r="T9" s="686">
        <v>3.2313090470821506</v>
      </c>
    </row>
    <row r="10" spans="2:28" ht="16.5" thickBot="1">
      <c r="B10" s="629" t="s">
        <v>208</v>
      </c>
      <c r="C10" s="628">
        <v>760.42399999999998</v>
      </c>
      <c r="D10" s="628">
        <v>468</v>
      </c>
      <c r="E10" s="686">
        <v>3.3783709337764227</v>
      </c>
      <c r="F10" s="898"/>
      <c r="G10" s="1062" t="s">
        <v>209</v>
      </c>
      <c r="H10" s="1050">
        <v>20.103999999999999</v>
      </c>
      <c r="I10" s="1063">
        <v>152</v>
      </c>
      <c r="J10" s="1064">
        <v>2.5933952528379773</v>
      </c>
      <c r="K10" s="701"/>
      <c r="L10" s="627" t="s">
        <v>199</v>
      </c>
      <c r="M10" s="628">
        <v>595.52</v>
      </c>
      <c r="N10" s="628">
        <v>180.66399999999999</v>
      </c>
      <c r="O10" s="686">
        <v>3.2962848160120446</v>
      </c>
      <c r="P10" s="701"/>
      <c r="Q10" s="627" t="s">
        <v>208</v>
      </c>
      <c r="R10" s="628">
        <v>225.64599999999999</v>
      </c>
      <c r="S10" s="628">
        <v>76.606999999999999</v>
      </c>
      <c r="T10" s="686">
        <v>2.9455010638714478</v>
      </c>
    </row>
    <row r="11" spans="2:28" ht="16.5" thickBot="1">
      <c r="B11" s="629" t="s">
        <v>217</v>
      </c>
      <c r="C11" s="628">
        <v>663.84100000000001</v>
      </c>
      <c r="D11" s="630">
        <v>1433</v>
      </c>
      <c r="E11" s="687">
        <v>1.8538694831380347</v>
      </c>
      <c r="F11" s="899"/>
      <c r="G11" s="958" t="s">
        <v>328</v>
      </c>
      <c r="H11" s="631">
        <v>764.11199999999997</v>
      </c>
      <c r="I11" s="631">
        <v>3078</v>
      </c>
      <c r="J11" s="785">
        <v>3.5551998808903447</v>
      </c>
      <c r="K11" s="701"/>
      <c r="L11" s="627" t="s">
        <v>194</v>
      </c>
      <c r="M11" s="628">
        <v>536.04300000000001</v>
      </c>
      <c r="N11" s="628">
        <v>216.756</v>
      </c>
      <c r="O11" s="686">
        <v>2.4730249681669711</v>
      </c>
      <c r="P11" s="701"/>
      <c r="Q11" s="627" t="s">
        <v>197</v>
      </c>
      <c r="R11" s="628">
        <v>213.49100000000001</v>
      </c>
      <c r="S11" s="628">
        <v>60.811999999999998</v>
      </c>
      <c r="T11" s="686">
        <v>3.5106722357429456</v>
      </c>
    </row>
    <row r="12" spans="2:28" ht="15.75">
      <c r="B12" s="629" t="s">
        <v>311</v>
      </c>
      <c r="C12" s="628">
        <v>425.48200000000003</v>
      </c>
      <c r="D12" s="630">
        <v>739</v>
      </c>
      <c r="E12" s="687">
        <v>3.9108239273502701</v>
      </c>
      <c r="F12" s="899"/>
      <c r="G12" s="122"/>
      <c r="H12" s="122"/>
      <c r="I12" s="122"/>
      <c r="J12" s="122"/>
      <c r="K12" s="701"/>
      <c r="L12" s="627" t="s">
        <v>203</v>
      </c>
      <c r="M12" s="628">
        <v>480.76100000000002</v>
      </c>
      <c r="N12" s="628">
        <v>159.41</v>
      </c>
      <c r="O12" s="686">
        <v>3.0158772975346593</v>
      </c>
      <c r="P12" s="701"/>
      <c r="Q12" s="627" t="s">
        <v>203</v>
      </c>
      <c r="R12" s="628">
        <v>95.162000000000006</v>
      </c>
      <c r="S12" s="628">
        <v>19.818999999999999</v>
      </c>
      <c r="T12" s="686">
        <v>4.80155406428175</v>
      </c>
    </row>
    <row r="13" spans="2:28" ht="16.5" thickBot="1">
      <c r="B13" s="629" t="s">
        <v>214</v>
      </c>
      <c r="C13" s="628">
        <v>369.89499999999998</v>
      </c>
      <c r="D13" s="630">
        <v>534</v>
      </c>
      <c r="E13" s="687">
        <v>2.004318636242949</v>
      </c>
      <c r="F13" s="899"/>
      <c r="G13" s="122"/>
      <c r="H13" s="122"/>
      <c r="I13" s="122"/>
      <c r="J13" s="122"/>
      <c r="K13" s="701"/>
      <c r="L13" s="627" t="s">
        <v>311</v>
      </c>
      <c r="M13" s="628">
        <v>419.46100000000001</v>
      </c>
      <c r="N13" s="628">
        <v>48.798000000000002</v>
      </c>
      <c r="O13" s="686">
        <v>8.5958645846141231</v>
      </c>
      <c r="P13" s="701"/>
      <c r="Q13" s="627" t="s">
        <v>212</v>
      </c>
      <c r="R13" s="628">
        <v>26.736999999999998</v>
      </c>
      <c r="S13" s="628">
        <v>10.726000000000001</v>
      </c>
      <c r="T13" s="686">
        <v>2.4927279507738205</v>
      </c>
    </row>
    <row r="14" spans="2:28" ht="16.5" thickBot="1">
      <c r="B14" s="629" t="s">
        <v>199</v>
      </c>
      <c r="C14" s="628">
        <v>327.08100000000002</v>
      </c>
      <c r="D14" s="630">
        <v>342</v>
      </c>
      <c r="E14" s="687">
        <v>1.5139624982063755</v>
      </c>
      <c r="F14" s="899"/>
      <c r="G14" s="122"/>
      <c r="H14" s="122"/>
      <c r="I14" s="122"/>
      <c r="J14" s="122"/>
      <c r="K14" s="701"/>
      <c r="L14" s="627" t="s">
        <v>217</v>
      </c>
      <c r="M14" s="628">
        <v>310.24200000000002</v>
      </c>
      <c r="N14" s="628">
        <v>130.25899999999999</v>
      </c>
      <c r="O14" s="686">
        <v>2.3817317805295608</v>
      </c>
      <c r="P14" s="701"/>
      <c r="Q14" s="1051" t="s">
        <v>328</v>
      </c>
      <c r="R14" s="631">
        <v>1299.566</v>
      </c>
      <c r="S14" s="631">
        <v>346.45800000000003</v>
      </c>
      <c r="T14" s="785">
        <v>3.7510058939323092</v>
      </c>
    </row>
    <row r="15" spans="2:28" ht="15.75">
      <c r="B15" s="629" t="s">
        <v>194</v>
      </c>
      <c r="C15" s="628">
        <v>264.37400000000002</v>
      </c>
      <c r="D15" s="628">
        <v>1042</v>
      </c>
      <c r="E15" s="686">
        <v>2.961742267232784</v>
      </c>
      <c r="F15" s="899"/>
      <c r="G15" s="122"/>
      <c r="H15" s="122"/>
      <c r="I15" s="122"/>
      <c r="J15" s="122"/>
      <c r="K15" s="701"/>
      <c r="L15" s="627" t="s">
        <v>215</v>
      </c>
      <c r="M15" s="628">
        <v>207.476</v>
      </c>
      <c r="N15" s="628">
        <v>54.054000000000002</v>
      </c>
      <c r="O15" s="686">
        <v>3.8383098383098382</v>
      </c>
      <c r="P15" s="701"/>
      <c r="Q15" s="122"/>
      <c r="R15" s="122"/>
      <c r="S15" s="122"/>
      <c r="T15" s="122"/>
    </row>
    <row r="16" spans="2:28" ht="15.75">
      <c r="B16" s="629" t="s">
        <v>207</v>
      </c>
      <c r="C16" s="628">
        <v>208.60300000000001</v>
      </c>
      <c r="D16" s="630">
        <v>234</v>
      </c>
      <c r="E16" s="687">
        <v>2.8104521448588056</v>
      </c>
      <c r="F16" s="899"/>
      <c r="K16" s="701"/>
      <c r="L16" s="627" t="s">
        <v>212</v>
      </c>
      <c r="M16" s="628">
        <v>185.15700000000001</v>
      </c>
      <c r="N16" s="628">
        <v>49.02</v>
      </c>
      <c r="O16" s="686">
        <v>3.7771725826193392</v>
      </c>
      <c r="P16" s="701"/>
      <c r="Q16" s="122"/>
      <c r="R16" s="122"/>
      <c r="S16" s="122"/>
      <c r="T16" s="122"/>
    </row>
    <row r="17" spans="2:21" ht="16.5" thickBot="1">
      <c r="B17" s="629" t="s">
        <v>197</v>
      </c>
      <c r="C17" s="628">
        <v>140.429</v>
      </c>
      <c r="D17" s="628">
        <v>109</v>
      </c>
      <c r="E17" s="686">
        <v>2.70889274691358</v>
      </c>
      <c r="F17" s="898"/>
      <c r="K17" s="701"/>
      <c r="L17" s="627" t="s">
        <v>208</v>
      </c>
      <c r="M17" s="628">
        <v>145.07599999999999</v>
      </c>
      <c r="N17" s="628">
        <v>30.847000000000001</v>
      </c>
      <c r="O17" s="686">
        <v>4.7030829578240994</v>
      </c>
      <c r="P17" s="701"/>
      <c r="Q17" s="122"/>
      <c r="R17" s="122"/>
      <c r="S17" s="122"/>
      <c r="T17" s="122"/>
      <c r="U17" s="122"/>
    </row>
    <row r="18" spans="2:21" ht="16.5" thickBot="1">
      <c r="B18" s="1051" t="s">
        <v>328</v>
      </c>
      <c r="C18" s="631">
        <v>6671.393</v>
      </c>
      <c r="D18" s="631">
        <v>12168</v>
      </c>
      <c r="E18" s="785">
        <v>2.3898688569104194</v>
      </c>
      <c r="F18" s="900"/>
      <c r="H18" s="122"/>
      <c r="I18" s="122"/>
      <c r="J18" s="122"/>
      <c r="K18" s="122"/>
      <c r="L18" s="1051" t="s">
        <v>328</v>
      </c>
      <c r="M18" s="631">
        <v>4927.5829999999996</v>
      </c>
      <c r="N18" s="631">
        <v>1515.627</v>
      </c>
      <c r="O18" s="785">
        <v>3.251184493282318</v>
      </c>
      <c r="P18" s="701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01"/>
      <c r="K19" s="701"/>
      <c r="L19" s="122"/>
      <c r="M19" s="122"/>
      <c r="N19" s="122"/>
      <c r="O19" s="122"/>
      <c r="P19" s="701"/>
      <c r="U19" s="122"/>
    </row>
    <row r="20" spans="2:21" ht="15" customHeight="1">
      <c r="F20" s="901"/>
      <c r="K20" s="701"/>
      <c r="L20" s="122"/>
      <c r="M20" s="122"/>
      <c r="N20" s="122"/>
      <c r="O20" s="122"/>
      <c r="P20" s="701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2"/>
      <c r="K21" s="701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065"/>
      <c r="J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065"/>
      <c r="J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065"/>
      <c r="J37" s="122"/>
    </row>
    <row r="38" spans="2:20">
      <c r="B38" s="122"/>
      <c r="C38" s="122"/>
      <c r="D38" s="122"/>
      <c r="E38" s="122"/>
      <c r="F38" s="122"/>
      <c r="G38" s="122"/>
      <c r="H38" s="122"/>
      <c r="I38" s="1065"/>
      <c r="J38" s="122"/>
    </row>
    <row r="39" spans="2:20">
      <c r="B39" s="122"/>
      <c r="C39" s="122"/>
      <c r="D39" s="122"/>
      <c r="E39" s="122"/>
      <c r="F39" s="122"/>
      <c r="G39" s="122"/>
      <c r="H39" s="122"/>
      <c r="I39" s="1065"/>
      <c r="J39" s="122"/>
    </row>
    <row r="40" spans="2:20">
      <c r="B40" s="122"/>
      <c r="C40" s="122"/>
      <c r="D40" s="122"/>
      <c r="E40" s="122"/>
      <c r="F40" s="122"/>
      <c r="G40" s="122"/>
      <c r="H40" s="122"/>
      <c r="I40" s="1065"/>
      <c r="J40" s="122"/>
    </row>
    <row r="41" spans="2:20">
      <c r="B41" s="122"/>
      <c r="C41" s="122"/>
      <c r="D41" s="122"/>
      <c r="E41" s="122"/>
      <c r="F41" s="122"/>
      <c r="G41" s="122"/>
      <c r="H41" s="122"/>
      <c r="I41" s="1065"/>
      <c r="J41" s="122"/>
    </row>
    <row r="42" spans="2:20">
      <c r="B42" s="122"/>
      <c r="C42" s="122"/>
      <c r="D42" s="122"/>
      <c r="E42" s="122"/>
      <c r="F42" s="122"/>
      <c r="G42" s="122"/>
      <c r="H42" s="122"/>
      <c r="I42" s="1065"/>
      <c r="J42" s="122"/>
    </row>
    <row r="43" spans="2:20">
      <c r="B43" s="122"/>
      <c r="C43" s="122"/>
      <c r="D43" s="122"/>
      <c r="E43" s="122"/>
      <c r="F43" s="122"/>
      <c r="G43" s="122"/>
      <c r="H43" s="122"/>
      <c r="I43" s="1065"/>
      <c r="J43" s="122"/>
    </row>
    <row r="44" spans="2:20">
      <c r="B44" s="122"/>
      <c r="C44" s="122"/>
      <c r="D44" s="122"/>
      <c r="E44" s="122"/>
      <c r="F44" s="122"/>
      <c r="G44" s="122"/>
      <c r="H44" s="122"/>
      <c r="I44" s="1065"/>
      <c r="J44" s="122"/>
    </row>
    <row r="45" spans="2:20">
      <c r="B45" s="122"/>
      <c r="C45" s="122"/>
      <c r="D45" s="122"/>
      <c r="E45" s="122"/>
      <c r="F45" s="122"/>
      <c r="G45" s="122"/>
      <c r="H45" s="122"/>
      <c r="I45" s="1065"/>
      <c r="J45" s="122"/>
    </row>
    <row r="46" spans="2:20">
      <c r="B46" s="122"/>
      <c r="C46" s="122"/>
      <c r="D46" s="122"/>
      <c r="E46" s="122"/>
      <c r="F46" s="122"/>
      <c r="G46" s="122"/>
      <c r="H46" s="122"/>
      <c r="I46" s="1065"/>
      <c r="J46" s="122"/>
    </row>
    <row r="47" spans="2:20">
      <c r="B47" s="122"/>
      <c r="C47" s="122"/>
      <c r="D47" s="122"/>
      <c r="E47" s="122"/>
      <c r="F47" s="122"/>
      <c r="G47" s="122"/>
      <c r="H47" s="122"/>
      <c r="I47" s="1065"/>
      <c r="J47" s="122"/>
    </row>
    <row r="48" spans="2:20">
      <c r="B48" s="122"/>
      <c r="C48" s="122"/>
      <c r="D48" s="122"/>
      <c r="E48" s="122"/>
      <c r="F48" s="122"/>
      <c r="G48" s="122"/>
      <c r="H48" s="122"/>
      <c r="I48" s="1065"/>
      <c r="J48" s="122"/>
    </row>
    <row r="49" spans="2:10">
      <c r="B49" s="122"/>
      <c r="C49" s="122"/>
      <c r="D49" s="122"/>
      <c r="E49" s="122"/>
      <c r="F49" s="122"/>
      <c r="G49" s="122"/>
      <c r="H49" s="122"/>
      <c r="I49" s="1065"/>
      <c r="J49" s="122"/>
    </row>
    <row r="50" spans="2:10">
      <c r="B50" s="122"/>
      <c r="C50" s="122"/>
      <c r="D50" s="122"/>
      <c r="E50" s="122"/>
      <c r="F50" s="122"/>
      <c r="G50" s="122"/>
      <c r="H50" s="122"/>
      <c r="I50" s="122"/>
      <c r="J50" s="122"/>
    </row>
    <row r="51" spans="2:10">
      <c r="B51" s="122"/>
      <c r="C51" s="122"/>
      <c r="D51" s="122"/>
      <c r="E51" s="122"/>
      <c r="F51" s="122"/>
      <c r="G51" s="122"/>
      <c r="H51" s="122"/>
      <c r="I51" s="122"/>
      <c r="J51" s="122"/>
    </row>
    <row r="52" spans="2:10">
      <c r="B52" s="122"/>
      <c r="C52" s="122"/>
      <c r="D52" s="122"/>
      <c r="E52" s="122"/>
      <c r="F52" s="122"/>
      <c r="G52" s="122"/>
      <c r="H52" s="122"/>
      <c r="I52" s="122"/>
      <c r="J52" s="122"/>
    </row>
    <row r="53" spans="2:10">
      <c r="B53" s="122"/>
      <c r="C53" s="122"/>
      <c r="D53" s="122"/>
      <c r="E53" s="122"/>
      <c r="F53" s="122"/>
      <c r="G53" s="122"/>
      <c r="H53" s="122"/>
      <c r="I53" s="122"/>
      <c r="J53" s="122"/>
    </row>
    <row r="54" spans="2:10">
      <c r="B54" s="122"/>
      <c r="C54" s="122"/>
      <c r="D54" s="122"/>
      <c r="E54" s="122"/>
      <c r="F54" s="122"/>
      <c r="G54" s="122"/>
      <c r="H54" s="122"/>
      <c r="I54" s="122"/>
      <c r="J54" s="122"/>
    </row>
    <row r="55" spans="2:10">
      <c r="B55" s="122"/>
      <c r="C55" s="122"/>
      <c r="D55" s="122"/>
      <c r="E55" s="122"/>
      <c r="F55" s="122"/>
      <c r="G55" s="122"/>
      <c r="H55" s="122"/>
      <c r="I55" s="122"/>
      <c r="J55" s="122"/>
    </row>
    <row r="56" spans="2:10">
      <c r="B56" s="122"/>
      <c r="C56" s="122"/>
      <c r="D56" s="122"/>
      <c r="E56" s="122"/>
      <c r="F56" s="122"/>
      <c r="G56" s="122"/>
      <c r="H56" s="122"/>
      <c r="I56" s="122"/>
      <c r="J56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0"/>
  <sheetViews>
    <sheetView topLeftCell="A529" zoomScale="80" zoomScaleNormal="80" workbookViewId="0">
      <selection activeCell="T576" sqref="T576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301" t="s">
        <v>261</v>
      </c>
      <c r="C5" s="1301"/>
      <c r="D5" s="1301"/>
      <c r="E5" s="1301"/>
      <c r="F5" s="1301"/>
      <c r="G5" s="1301"/>
      <c r="H5" s="1301"/>
      <c r="I5" s="1301"/>
      <c r="J5" s="1301"/>
      <c r="K5" s="1301"/>
      <c r="L5" s="1301"/>
    </row>
    <row r="6" spans="2:13" ht="18">
      <c r="B6" s="707"/>
      <c r="C6" s="707"/>
      <c r="D6" s="707"/>
      <c r="E6" s="707"/>
      <c r="F6" s="460" t="s">
        <v>262</v>
      </c>
      <c r="G6" s="707"/>
      <c r="H6" s="707"/>
      <c r="I6" s="707"/>
      <c r="J6" s="707"/>
      <c r="K6" s="707"/>
      <c r="L6" s="707"/>
    </row>
    <row r="7" spans="2:13" s="461" customFormat="1" ht="15">
      <c r="B7" s="1302" t="s">
        <v>263</v>
      </c>
      <c r="C7" s="1297" t="s">
        <v>22</v>
      </c>
      <c r="D7" s="1297" t="s">
        <v>264</v>
      </c>
      <c r="E7" s="1305" t="s">
        <v>265</v>
      </c>
      <c r="F7" s="1306"/>
      <c r="G7" s="1307"/>
      <c r="H7" s="1308" t="s">
        <v>266</v>
      </c>
      <c r="I7" s="1310" t="s">
        <v>267</v>
      </c>
      <c r="J7" s="1311"/>
      <c r="K7" s="1311"/>
      <c r="L7" s="1302"/>
    </row>
    <row r="8" spans="2:13">
      <c r="B8" s="1303"/>
      <c r="C8" s="1304"/>
      <c r="D8" s="1304"/>
      <c r="E8" s="1295" t="s">
        <v>268</v>
      </c>
      <c r="F8" s="1297" t="s">
        <v>269</v>
      </c>
      <c r="G8" s="1297" t="s">
        <v>270</v>
      </c>
      <c r="H8" s="1309"/>
      <c r="I8" s="1295" t="s">
        <v>271</v>
      </c>
      <c r="J8" s="1295" t="s">
        <v>24</v>
      </c>
      <c r="K8" s="1297" t="s">
        <v>272</v>
      </c>
      <c r="L8" s="1295" t="s">
        <v>273</v>
      </c>
    </row>
    <row r="9" spans="2:13">
      <c r="B9" s="1303"/>
      <c r="C9" s="1304"/>
      <c r="D9" s="1304"/>
      <c r="E9" s="1296"/>
      <c r="F9" s="1304"/>
      <c r="G9" s="1304"/>
      <c r="H9" s="1309"/>
      <c r="I9" s="1296"/>
      <c r="J9" s="1296"/>
      <c r="K9" s="1298"/>
      <c r="L9" s="1296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7"/>
      <c r="D29" s="480"/>
      <c r="E29" s="707"/>
      <c r="F29" s="707"/>
      <c r="H29" s="707"/>
      <c r="I29" s="707"/>
      <c r="J29" s="707"/>
      <c r="K29" s="707"/>
      <c r="L29" s="707"/>
    </row>
    <row r="30" spans="2:13" s="461" customFormat="1" ht="18.75" customHeight="1">
      <c r="B30" s="707"/>
      <c r="C30" s="707"/>
      <c r="D30" s="707"/>
      <c r="E30" s="707"/>
      <c r="F30" s="460" t="s">
        <v>262</v>
      </c>
      <c r="G30" s="707"/>
      <c r="H30" s="707"/>
      <c r="I30" s="707"/>
      <c r="J30" s="707"/>
      <c r="K30" s="707"/>
      <c r="L30" s="707"/>
    </row>
    <row r="31" spans="2:13" ht="30">
      <c r="B31" s="708" t="s">
        <v>263</v>
      </c>
      <c r="C31" s="710" t="s">
        <v>22</v>
      </c>
      <c r="D31" s="710" t="s">
        <v>264</v>
      </c>
      <c r="E31" s="712" t="s">
        <v>265</v>
      </c>
      <c r="F31" s="713"/>
      <c r="G31" s="714"/>
      <c r="H31" s="715" t="s">
        <v>266</v>
      </c>
      <c r="I31" s="712" t="s">
        <v>267</v>
      </c>
      <c r="J31" s="713"/>
      <c r="K31" s="713"/>
      <c r="L31" s="713"/>
      <c r="M31" s="466"/>
    </row>
    <row r="32" spans="2:13" ht="15">
      <c r="B32" s="709"/>
      <c r="C32" s="711"/>
      <c r="D32" s="711"/>
      <c r="E32" s="718" t="s">
        <v>268</v>
      </c>
      <c r="F32" s="710" t="s">
        <v>269</v>
      </c>
      <c r="G32" s="710" t="s">
        <v>270</v>
      </c>
      <c r="H32" s="716"/>
      <c r="I32" s="718" t="s">
        <v>271</v>
      </c>
      <c r="J32" s="718" t="s">
        <v>24</v>
      </c>
      <c r="K32" s="710" t="s">
        <v>272</v>
      </c>
      <c r="L32" s="717" t="s">
        <v>273</v>
      </c>
      <c r="M32" s="466"/>
    </row>
    <row r="33" spans="2:13" ht="15">
      <c r="B33" s="709"/>
      <c r="C33" s="711"/>
      <c r="D33" s="711"/>
      <c r="E33" s="719"/>
      <c r="F33" s="711"/>
      <c r="G33" s="711"/>
      <c r="H33" s="716"/>
      <c r="I33" s="719"/>
      <c r="J33" s="719"/>
      <c r="K33" s="720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6"/>
      <c r="E36" s="706"/>
      <c r="G36" s="706" t="s">
        <v>274</v>
      </c>
      <c r="H36" s="706"/>
      <c r="I36" s="706"/>
      <c r="J36" s="706"/>
      <c r="K36" s="706"/>
      <c r="L36" s="706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7"/>
      <c r="D53" s="480"/>
      <c r="E53" s="707"/>
      <c r="F53" s="707"/>
      <c r="H53" s="707"/>
      <c r="I53" s="707"/>
      <c r="J53" s="707"/>
      <c r="K53" s="707"/>
      <c r="L53" s="707"/>
    </row>
    <row r="54" spans="2:13" ht="18">
      <c r="B54" s="707"/>
      <c r="C54" s="707"/>
      <c r="D54" s="707"/>
      <c r="E54" s="707"/>
      <c r="F54" s="460" t="s">
        <v>262</v>
      </c>
      <c r="G54" s="707"/>
      <c r="H54" s="707"/>
      <c r="I54" s="707"/>
      <c r="J54" s="707"/>
      <c r="K54" s="707"/>
      <c r="L54" s="707"/>
    </row>
    <row r="55" spans="2:13" ht="30">
      <c r="B55" s="708" t="s">
        <v>263</v>
      </c>
      <c r="C55" s="710" t="s">
        <v>22</v>
      </c>
      <c r="D55" s="710" t="s">
        <v>264</v>
      </c>
      <c r="E55" s="712" t="s">
        <v>265</v>
      </c>
      <c r="F55" s="713"/>
      <c r="G55" s="714"/>
      <c r="H55" s="715" t="s">
        <v>266</v>
      </c>
      <c r="I55" s="712" t="s">
        <v>267</v>
      </c>
      <c r="J55" s="713"/>
      <c r="K55" s="713"/>
      <c r="L55" s="713"/>
      <c r="M55" s="466"/>
    </row>
    <row r="56" spans="2:13" ht="15" customHeight="1">
      <c r="B56" s="709"/>
      <c r="C56" s="711"/>
      <c r="D56" s="711"/>
      <c r="E56" s="718" t="s">
        <v>268</v>
      </c>
      <c r="F56" s="710" t="s">
        <v>269</v>
      </c>
      <c r="G56" s="710" t="s">
        <v>270</v>
      </c>
      <c r="H56" s="716"/>
      <c r="I56" s="718" t="s">
        <v>271</v>
      </c>
      <c r="J56" s="718" t="s">
        <v>24</v>
      </c>
      <c r="K56" s="710" t="s">
        <v>272</v>
      </c>
      <c r="L56" s="717" t="s">
        <v>273</v>
      </c>
      <c r="M56" s="466"/>
    </row>
    <row r="57" spans="2:13" ht="15">
      <c r="B57" s="709"/>
      <c r="C57" s="711"/>
      <c r="D57" s="711"/>
      <c r="E57" s="719"/>
      <c r="F57" s="711"/>
      <c r="G57" s="711"/>
      <c r="H57" s="716"/>
      <c r="I57" s="719"/>
      <c r="J57" s="719"/>
      <c r="K57" s="720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6"/>
      <c r="E60" s="706"/>
      <c r="G60" s="706" t="s">
        <v>274</v>
      </c>
      <c r="H60" s="706"/>
      <c r="I60" s="706"/>
      <c r="J60" s="706"/>
      <c r="K60" s="706"/>
      <c r="L60" s="706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7"/>
      <c r="D78" s="480"/>
      <c r="E78" s="707"/>
      <c r="F78" s="707"/>
      <c r="H78" s="707"/>
      <c r="I78" s="707"/>
      <c r="J78" s="707"/>
      <c r="K78" s="707"/>
      <c r="L78" s="707"/>
    </row>
    <row r="79" spans="2:13" ht="18">
      <c r="B79" s="707"/>
      <c r="C79" s="707"/>
      <c r="D79" s="707"/>
      <c r="E79" s="707"/>
      <c r="F79" s="460" t="s">
        <v>262</v>
      </c>
      <c r="G79" s="707"/>
      <c r="H79" s="707"/>
      <c r="I79" s="707"/>
      <c r="J79" s="707"/>
      <c r="K79" s="707"/>
      <c r="L79" s="707"/>
    </row>
    <row r="80" spans="2:13" ht="30">
      <c r="B80" s="708" t="s">
        <v>263</v>
      </c>
      <c r="C80" s="710" t="s">
        <v>22</v>
      </c>
      <c r="D80" s="710" t="s">
        <v>264</v>
      </c>
      <c r="E80" s="712" t="s">
        <v>265</v>
      </c>
      <c r="F80" s="713"/>
      <c r="G80" s="714"/>
      <c r="H80" s="715" t="s">
        <v>266</v>
      </c>
      <c r="I80" s="712" t="s">
        <v>267</v>
      </c>
      <c r="J80" s="713"/>
      <c r="K80" s="713"/>
      <c r="L80" s="713"/>
      <c r="M80" s="466"/>
    </row>
    <row r="81" spans="2:13" ht="15">
      <c r="B81" s="709"/>
      <c r="C81" s="711"/>
      <c r="D81" s="711"/>
      <c r="E81" s="718" t="s">
        <v>268</v>
      </c>
      <c r="F81" s="710" t="s">
        <v>269</v>
      </c>
      <c r="G81" s="710" t="s">
        <v>270</v>
      </c>
      <c r="H81" s="716"/>
      <c r="I81" s="718" t="s">
        <v>271</v>
      </c>
      <c r="J81" s="718" t="s">
        <v>24</v>
      </c>
      <c r="K81" s="710" t="s">
        <v>272</v>
      </c>
      <c r="L81" s="717" t="s">
        <v>273</v>
      </c>
      <c r="M81" s="466"/>
    </row>
    <row r="82" spans="2:13" ht="15">
      <c r="B82" s="709"/>
      <c r="C82" s="711"/>
      <c r="D82" s="711"/>
      <c r="E82" s="719"/>
      <c r="F82" s="711"/>
      <c r="G82" s="711"/>
      <c r="H82" s="716"/>
      <c r="I82" s="719"/>
      <c r="J82" s="719"/>
      <c r="K82" s="720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6"/>
      <c r="E85" s="706"/>
      <c r="G85" s="706" t="s">
        <v>274</v>
      </c>
      <c r="H85" s="706"/>
      <c r="I85" s="706"/>
      <c r="J85" s="706"/>
      <c r="K85" s="706"/>
      <c r="L85" s="706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7"/>
      <c r="D103" s="480"/>
      <c r="E103" s="707"/>
      <c r="F103" s="707"/>
      <c r="H103" s="707"/>
      <c r="I103" s="707"/>
      <c r="J103" s="707"/>
      <c r="K103" s="707"/>
      <c r="L103" s="707"/>
    </row>
    <row r="104" spans="2:15" ht="18">
      <c r="B104" s="707"/>
      <c r="C104" s="707"/>
      <c r="D104" s="707"/>
      <c r="E104" s="707"/>
      <c r="F104" s="460" t="s">
        <v>262</v>
      </c>
      <c r="G104" s="707"/>
      <c r="H104" s="707"/>
      <c r="I104" s="707"/>
      <c r="J104" s="707"/>
      <c r="K104" s="707"/>
      <c r="L104" s="707"/>
    </row>
    <row r="105" spans="2:15" ht="30">
      <c r="B105" s="708" t="s">
        <v>263</v>
      </c>
      <c r="C105" s="710" t="s">
        <v>22</v>
      </c>
      <c r="D105" s="710" t="s">
        <v>264</v>
      </c>
      <c r="E105" s="712" t="s">
        <v>265</v>
      </c>
      <c r="F105" s="713"/>
      <c r="G105" s="714"/>
      <c r="H105" s="715" t="s">
        <v>266</v>
      </c>
      <c r="I105" s="712" t="s">
        <v>267</v>
      </c>
      <c r="J105" s="713"/>
      <c r="K105" s="713"/>
      <c r="L105" s="713"/>
      <c r="N105" s="1290"/>
      <c r="O105" s="1290"/>
    </row>
    <row r="106" spans="2:15" ht="15">
      <c r="B106" s="709"/>
      <c r="C106" s="711"/>
      <c r="D106" s="711"/>
      <c r="E106" s="718" t="s">
        <v>268</v>
      </c>
      <c r="F106" s="710" t="s">
        <v>269</v>
      </c>
      <c r="G106" s="710" t="s">
        <v>270</v>
      </c>
      <c r="H106" s="716"/>
      <c r="I106" s="718" t="s">
        <v>271</v>
      </c>
      <c r="J106" s="718" t="s">
        <v>24</v>
      </c>
      <c r="K106" s="710" t="s">
        <v>272</v>
      </c>
      <c r="L106" s="717" t="s">
        <v>273</v>
      </c>
    </row>
    <row r="107" spans="2:15" ht="15">
      <c r="B107" s="709"/>
      <c r="C107" s="711"/>
      <c r="D107" s="711"/>
      <c r="E107" s="719"/>
      <c r="F107" s="711"/>
      <c r="G107" s="711"/>
      <c r="H107" s="716"/>
      <c r="I107" s="719"/>
      <c r="J107" s="719"/>
      <c r="K107" s="720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6"/>
      <c r="E110" s="706"/>
      <c r="G110" s="706" t="s">
        <v>274</v>
      </c>
      <c r="H110" s="706"/>
      <c r="I110" s="706"/>
      <c r="J110" s="706"/>
      <c r="K110" s="706"/>
      <c r="L110" s="706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290"/>
      <c r="O121" s="1290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7"/>
      <c r="D128" s="480"/>
      <c r="E128" s="707"/>
      <c r="F128" s="707"/>
      <c r="H128" s="707"/>
      <c r="I128" s="707"/>
      <c r="J128" s="707"/>
      <c r="K128" s="707"/>
      <c r="L128" s="707"/>
    </row>
    <row r="129" spans="2:12" ht="18">
      <c r="B129" s="707"/>
      <c r="C129" s="707"/>
      <c r="D129" s="707"/>
      <c r="E129" s="707"/>
      <c r="F129" s="460" t="s">
        <v>262</v>
      </c>
      <c r="G129" s="707"/>
      <c r="H129" s="707"/>
      <c r="I129" s="707"/>
      <c r="J129" s="707"/>
      <c r="K129" s="707"/>
      <c r="L129" s="707"/>
    </row>
    <row r="130" spans="2:12" ht="30">
      <c r="B130" s="708" t="s">
        <v>263</v>
      </c>
      <c r="C130" s="710" t="s">
        <v>22</v>
      </c>
      <c r="D130" s="710" t="s">
        <v>264</v>
      </c>
      <c r="E130" s="712" t="s">
        <v>265</v>
      </c>
      <c r="F130" s="713"/>
      <c r="G130" s="714"/>
      <c r="H130" s="715" t="s">
        <v>266</v>
      </c>
      <c r="I130" s="712" t="s">
        <v>267</v>
      </c>
      <c r="J130" s="713"/>
      <c r="K130" s="713"/>
      <c r="L130" s="713"/>
    </row>
    <row r="131" spans="2:12" ht="15">
      <c r="B131" s="709"/>
      <c r="C131" s="711"/>
      <c r="D131" s="711"/>
      <c r="E131" s="718" t="s">
        <v>268</v>
      </c>
      <c r="F131" s="710" t="s">
        <v>269</v>
      </c>
      <c r="G131" s="710" t="s">
        <v>270</v>
      </c>
      <c r="H131" s="716"/>
      <c r="I131" s="718" t="s">
        <v>271</v>
      </c>
      <c r="J131" s="718" t="s">
        <v>24</v>
      </c>
      <c r="K131" s="710" t="s">
        <v>272</v>
      </c>
      <c r="L131" s="717" t="s">
        <v>273</v>
      </c>
    </row>
    <row r="132" spans="2:12" ht="15">
      <c r="B132" s="709"/>
      <c r="C132" s="711"/>
      <c r="D132" s="711"/>
      <c r="E132" s="719"/>
      <c r="F132" s="711"/>
      <c r="G132" s="711"/>
      <c r="H132" s="716"/>
      <c r="I132" s="719"/>
      <c r="J132" s="719"/>
      <c r="K132" s="720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6"/>
      <c r="E135" s="706"/>
      <c r="G135" s="706" t="s">
        <v>274</v>
      </c>
      <c r="H135" s="706"/>
      <c r="I135" s="706"/>
      <c r="J135" s="706"/>
      <c r="K135" s="706"/>
      <c r="L135" s="706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290"/>
      <c r="O145" s="1290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7"/>
      <c r="D154" s="707"/>
      <c r="E154" s="707"/>
      <c r="F154" s="460" t="s">
        <v>262</v>
      </c>
      <c r="G154" s="707"/>
      <c r="H154" s="707"/>
      <c r="I154" s="707"/>
      <c r="J154" s="707"/>
      <c r="K154" s="707"/>
      <c r="L154" s="508"/>
    </row>
    <row r="155" spans="2:15" ht="30">
      <c r="B155" s="509" t="s">
        <v>263</v>
      </c>
      <c r="C155" s="710" t="s">
        <v>22</v>
      </c>
      <c r="D155" s="710" t="s">
        <v>264</v>
      </c>
      <c r="E155" s="712" t="s">
        <v>265</v>
      </c>
      <c r="F155" s="713"/>
      <c r="G155" s="714"/>
      <c r="H155" s="715" t="s">
        <v>266</v>
      </c>
      <c r="I155" s="712" t="s">
        <v>267</v>
      </c>
      <c r="J155" s="713"/>
      <c r="K155" s="713"/>
      <c r="L155" s="510"/>
    </row>
    <row r="156" spans="2:15" ht="15">
      <c r="B156" s="511"/>
      <c r="C156" s="711"/>
      <c r="D156" s="711"/>
      <c r="E156" s="718" t="s">
        <v>268</v>
      </c>
      <c r="F156" s="710" t="s">
        <v>269</v>
      </c>
      <c r="G156" s="710" t="s">
        <v>270</v>
      </c>
      <c r="H156" s="716"/>
      <c r="I156" s="718" t="s">
        <v>271</v>
      </c>
      <c r="J156" s="718" t="s">
        <v>24</v>
      </c>
      <c r="K156" s="710" t="s">
        <v>272</v>
      </c>
      <c r="L156" s="512" t="s">
        <v>273</v>
      </c>
    </row>
    <row r="157" spans="2:15" ht="15">
      <c r="B157" s="511"/>
      <c r="C157" s="711"/>
      <c r="D157" s="711"/>
      <c r="E157" s="719"/>
      <c r="F157" s="711"/>
      <c r="G157" s="711"/>
      <c r="H157" s="716"/>
      <c r="I157" s="719"/>
      <c r="J157" s="719"/>
      <c r="K157" s="720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6"/>
      <c r="E160" s="706"/>
      <c r="F160" s="519"/>
      <c r="G160" s="706" t="s">
        <v>274</v>
      </c>
      <c r="H160" s="706"/>
      <c r="I160" s="706"/>
      <c r="J160" s="706"/>
      <c r="K160" s="706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290"/>
      <c r="O171" s="1290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60" t="s">
        <v>299</v>
      </c>
      <c r="D177" s="1260"/>
      <c r="E177" s="1260"/>
      <c r="F177" s="1260"/>
      <c r="G177" s="1260"/>
      <c r="H177" s="1260"/>
      <c r="I177" s="1260"/>
      <c r="J177" s="1260"/>
      <c r="K177" s="1260"/>
      <c r="L177" s="1291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292" t="s">
        <v>263</v>
      </c>
      <c r="C194" s="1264" t="s">
        <v>22</v>
      </c>
      <c r="D194" s="1264" t="s">
        <v>264</v>
      </c>
      <c r="E194" s="1266" t="s">
        <v>265</v>
      </c>
      <c r="F194" s="1267"/>
      <c r="G194" s="1268"/>
      <c r="H194" s="1269" t="s">
        <v>266</v>
      </c>
      <c r="I194" s="1271" t="s">
        <v>267</v>
      </c>
      <c r="J194" s="1272"/>
      <c r="K194" s="1272"/>
      <c r="L194" s="1294"/>
    </row>
    <row r="195" spans="2:12" ht="12.75" customHeight="1">
      <c r="B195" s="1293"/>
      <c r="C195" s="1265"/>
      <c r="D195" s="1265"/>
      <c r="E195" s="1279" t="s">
        <v>268</v>
      </c>
      <c r="F195" s="1264" t="s">
        <v>269</v>
      </c>
      <c r="G195" s="1264" t="s">
        <v>270</v>
      </c>
      <c r="H195" s="1270"/>
      <c r="I195" s="1279" t="s">
        <v>271</v>
      </c>
      <c r="J195" s="1279" t="s">
        <v>24</v>
      </c>
      <c r="K195" s="1264" t="s">
        <v>272</v>
      </c>
      <c r="L195" s="1299" t="s">
        <v>273</v>
      </c>
    </row>
    <row r="196" spans="2:12" ht="12.75" customHeight="1">
      <c r="B196" s="1293"/>
      <c r="C196" s="1265"/>
      <c r="D196" s="1265"/>
      <c r="E196" s="1286"/>
      <c r="F196" s="1265"/>
      <c r="G196" s="1265"/>
      <c r="H196" s="1270"/>
      <c r="I196" s="1280"/>
      <c r="J196" s="1280"/>
      <c r="K196" s="1281"/>
      <c r="L196" s="1300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60" t="s">
        <v>300</v>
      </c>
      <c r="D199" s="1260"/>
      <c r="E199" s="1260"/>
      <c r="F199" s="1260"/>
      <c r="G199" s="1260"/>
      <c r="H199" s="1260"/>
      <c r="I199" s="1260"/>
      <c r="J199" s="1260"/>
      <c r="K199" s="1260"/>
      <c r="L199" s="1291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7"/>
      <c r="D232" s="480"/>
      <c r="E232" s="707"/>
      <c r="F232" s="707"/>
      <c r="H232" s="707"/>
      <c r="I232" s="707"/>
      <c r="J232" s="707"/>
      <c r="K232" s="707"/>
      <c r="L232" s="707"/>
    </row>
    <row r="233" spans="2:12" ht="18">
      <c r="B233" s="707"/>
      <c r="C233" s="707"/>
      <c r="D233" s="707"/>
      <c r="E233" s="707"/>
      <c r="F233" s="460" t="s">
        <v>262</v>
      </c>
      <c r="G233" s="707"/>
      <c r="H233" s="707"/>
      <c r="I233" s="707"/>
      <c r="J233" s="707"/>
      <c r="K233" s="707"/>
      <c r="L233" s="707"/>
    </row>
    <row r="234" spans="2:12" ht="12.75">
      <c r="B234" s="1273" t="s">
        <v>263</v>
      </c>
      <c r="C234" s="1264" t="s">
        <v>22</v>
      </c>
      <c r="D234" s="1264" t="s">
        <v>264</v>
      </c>
      <c r="E234" s="1266" t="s">
        <v>265</v>
      </c>
      <c r="F234" s="1267"/>
      <c r="G234" s="1268"/>
      <c r="H234" s="1269" t="s">
        <v>266</v>
      </c>
      <c r="I234" s="1266" t="s">
        <v>267</v>
      </c>
      <c r="J234" s="1267"/>
      <c r="K234" s="1267"/>
      <c r="L234" s="1267"/>
    </row>
    <row r="235" spans="2:12">
      <c r="B235" s="1289"/>
      <c r="C235" s="1265"/>
      <c r="D235" s="1265"/>
      <c r="E235" s="1279" t="s">
        <v>268</v>
      </c>
      <c r="F235" s="1264" t="s">
        <v>269</v>
      </c>
      <c r="G235" s="1264" t="s">
        <v>270</v>
      </c>
      <c r="H235" s="1270"/>
      <c r="I235" s="1279" t="s">
        <v>271</v>
      </c>
      <c r="J235" s="1279" t="s">
        <v>24</v>
      </c>
      <c r="K235" s="1264" t="s">
        <v>272</v>
      </c>
      <c r="L235" s="1271" t="s">
        <v>273</v>
      </c>
    </row>
    <row r="236" spans="2:12">
      <c r="B236" s="1289"/>
      <c r="C236" s="1265"/>
      <c r="D236" s="1265"/>
      <c r="E236" s="1286"/>
      <c r="F236" s="1265"/>
      <c r="G236" s="1265"/>
      <c r="H236" s="1270"/>
      <c r="I236" s="1286"/>
      <c r="J236" s="1286"/>
      <c r="K236" s="1265"/>
      <c r="L236" s="1285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83" t="s">
        <v>274</v>
      </c>
      <c r="D239" s="1283"/>
      <c r="E239" s="1283"/>
      <c r="F239" s="1283"/>
      <c r="G239" s="1283"/>
      <c r="H239" s="1283"/>
      <c r="I239" s="1283"/>
      <c r="J239" s="1283"/>
      <c r="K239" s="1283"/>
      <c r="L239" s="1283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60" t="s">
        <v>299</v>
      </c>
      <c r="D256" s="1260"/>
      <c r="E256" s="1260"/>
      <c r="F256" s="1260"/>
      <c r="G256" s="1260"/>
      <c r="H256" s="1260"/>
      <c r="I256" s="1260"/>
      <c r="J256" s="1260"/>
      <c r="K256" s="1260"/>
      <c r="L256" s="1260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87" t="s">
        <v>263</v>
      </c>
      <c r="C273" s="1264" t="s">
        <v>22</v>
      </c>
      <c r="D273" s="1264" t="s">
        <v>264</v>
      </c>
      <c r="E273" s="1266" t="s">
        <v>265</v>
      </c>
      <c r="F273" s="1267"/>
      <c r="G273" s="1268"/>
      <c r="H273" s="1269" t="s">
        <v>266</v>
      </c>
      <c r="I273" s="1271" t="s">
        <v>267</v>
      </c>
      <c r="J273" s="1272"/>
      <c r="K273" s="1272"/>
      <c r="L273" s="1272"/>
    </row>
    <row r="274" spans="2:12" ht="11.25" customHeight="1">
      <c r="B274" s="1288"/>
      <c r="C274" s="1265"/>
      <c r="D274" s="1265"/>
      <c r="E274" s="1279" t="s">
        <v>268</v>
      </c>
      <c r="F274" s="1264" t="s">
        <v>269</v>
      </c>
      <c r="G274" s="1264" t="s">
        <v>270</v>
      </c>
      <c r="H274" s="1270"/>
      <c r="I274" s="1279" t="s">
        <v>271</v>
      </c>
      <c r="J274" s="1279" t="s">
        <v>24</v>
      </c>
      <c r="K274" s="1264" t="s">
        <v>272</v>
      </c>
      <c r="L274" s="1271" t="s">
        <v>273</v>
      </c>
    </row>
    <row r="275" spans="2:12" ht="11.25" customHeight="1">
      <c r="B275" s="1288"/>
      <c r="C275" s="1265"/>
      <c r="D275" s="1265"/>
      <c r="E275" s="1286"/>
      <c r="F275" s="1265"/>
      <c r="G275" s="1265"/>
      <c r="H275" s="1270"/>
      <c r="I275" s="1280"/>
      <c r="J275" s="1280"/>
      <c r="K275" s="1281"/>
      <c r="L275" s="1285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60" t="s">
        <v>300</v>
      </c>
      <c r="D278" s="1260"/>
      <c r="E278" s="1260"/>
      <c r="F278" s="1260"/>
      <c r="G278" s="1260"/>
      <c r="H278" s="1260"/>
      <c r="I278" s="1260"/>
      <c r="J278" s="1260"/>
      <c r="K278" s="1260"/>
      <c r="L278" s="1260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7"/>
      <c r="D311" s="480"/>
      <c r="E311" s="707"/>
      <c r="F311" s="707"/>
      <c r="H311" s="707"/>
      <c r="I311" s="707"/>
      <c r="J311" s="707"/>
      <c r="K311" s="707"/>
      <c r="L311" s="707"/>
    </row>
    <row r="312" spans="2:12" ht="18">
      <c r="B312" s="707"/>
      <c r="C312" s="707"/>
      <c r="D312" s="707"/>
      <c r="E312" s="707"/>
      <c r="F312" s="460" t="s">
        <v>262</v>
      </c>
      <c r="G312" s="707"/>
      <c r="H312" s="707"/>
      <c r="I312" s="707"/>
      <c r="J312" s="707"/>
      <c r="K312" s="707"/>
      <c r="L312" s="707"/>
    </row>
    <row r="313" spans="2:12" ht="12.75" customHeight="1">
      <c r="B313" s="1279" t="s">
        <v>263</v>
      </c>
      <c r="C313" s="1264" t="s">
        <v>22</v>
      </c>
      <c r="D313" s="1264" t="s">
        <v>264</v>
      </c>
      <c r="E313" s="1266" t="s">
        <v>265</v>
      </c>
      <c r="F313" s="1267"/>
      <c r="G313" s="1268"/>
      <c r="H313" s="1264" t="s">
        <v>266</v>
      </c>
      <c r="I313" s="1266" t="s">
        <v>267</v>
      </c>
      <c r="J313" s="1267"/>
      <c r="K313" s="1267"/>
      <c r="L313" s="1268"/>
    </row>
    <row r="314" spans="2:12" ht="11.25" customHeight="1">
      <c r="B314" s="1286"/>
      <c r="C314" s="1265"/>
      <c r="D314" s="1265"/>
      <c r="E314" s="1274" t="s">
        <v>304</v>
      </c>
      <c r="F314" s="1277" t="s">
        <v>305</v>
      </c>
      <c r="G314" s="1277" t="s">
        <v>306</v>
      </c>
      <c r="H314" s="1265"/>
      <c r="I314" s="1279" t="s">
        <v>271</v>
      </c>
      <c r="J314" s="1279" t="s">
        <v>24</v>
      </c>
      <c r="K314" s="1264" t="s">
        <v>272</v>
      </c>
      <c r="L314" s="1279" t="s">
        <v>273</v>
      </c>
    </row>
    <row r="315" spans="2:12" ht="11.25" customHeight="1">
      <c r="B315" s="1280"/>
      <c r="C315" s="1281"/>
      <c r="D315" s="1281"/>
      <c r="E315" s="1276"/>
      <c r="F315" s="1278"/>
      <c r="G315" s="1278"/>
      <c r="H315" s="1281"/>
      <c r="I315" s="1280"/>
      <c r="J315" s="1280"/>
      <c r="K315" s="1281"/>
      <c r="L315" s="1280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6"/>
      <c r="C317" s="467"/>
      <c r="D317" s="467"/>
      <c r="E317" s="467"/>
      <c r="F317" s="467"/>
      <c r="G317" s="467"/>
      <c r="H317" s="467"/>
      <c r="I317" s="467"/>
      <c r="J317" s="467"/>
      <c r="K317" s="467"/>
      <c r="L317" s="761"/>
    </row>
    <row r="318" spans="2:12" ht="14.25">
      <c r="B318" s="767"/>
      <c r="C318" s="1283" t="s">
        <v>274</v>
      </c>
      <c r="D318" s="1283"/>
      <c r="E318" s="1283"/>
      <c r="F318" s="1283"/>
      <c r="G318" s="1283"/>
      <c r="H318" s="1283"/>
      <c r="I318" s="1283"/>
      <c r="J318" s="1283"/>
      <c r="K318" s="1283"/>
      <c r="L318" s="1284"/>
    </row>
    <row r="319" spans="2:12" ht="12.75">
      <c r="B319" s="766"/>
      <c r="C319" s="467"/>
      <c r="D319" s="467"/>
      <c r="E319" s="467"/>
      <c r="F319" s="467"/>
      <c r="G319" s="467"/>
      <c r="H319" s="467"/>
      <c r="I319" s="467"/>
      <c r="J319" s="467"/>
      <c r="K319" s="467"/>
      <c r="L319" s="761"/>
    </row>
    <row r="320" spans="2:12" ht="15">
      <c r="B320" s="768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8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8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8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8" t="s">
        <v>279</v>
      </c>
      <c r="C324" s="522">
        <v>139590</v>
      </c>
      <c r="D324" s="762">
        <v>4908</v>
      </c>
      <c r="E324" s="581">
        <v>2031</v>
      </c>
      <c r="F324" s="582">
        <v>2587</v>
      </c>
      <c r="G324" s="582">
        <v>290</v>
      </c>
      <c r="H324" s="762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8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8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8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8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9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9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9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70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1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7"/>
      <c r="C334" s="535"/>
      <c r="D334" s="535"/>
      <c r="E334" s="535"/>
      <c r="F334" s="535"/>
      <c r="G334" s="535"/>
      <c r="H334" s="535"/>
      <c r="I334" s="535"/>
      <c r="J334" s="535"/>
      <c r="K334" s="535"/>
      <c r="L334" s="763"/>
    </row>
    <row r="335" spans="2:12" ht="12.75">
      <c r="B335" s="767"/>
      <c r="C335" s="1260" t="s">
        <v>299</v>
      </c>
      <c r="D335" s="1260"/>
      <c r="E335" s="1260"/>
      <c r="F335" s="1260"/>
      <c r="G335" s="1260"/>
      <c r="H335" s="1260"/>
      <c r="I335" s="1260"/>
      <c r="J335" s="1260"/>
      <c r="K335" s="1260"/>
      <c r="L335" s="1261"/>
    </row>
    <row r="336" spans="2:12" ht="12.75">
      <c r="B336" s="766"/>
      <c r="C336" s="535"/>
      <c r="D336" s="535"/>
      <c r="E336" s="535"/>
      <c r="F336" s="535"/>
      <c r="G336" s="535"/>
      <c r="H336" s="535"/>
      <c r="I336" s="535"/>
      <c r="J336" s="535"/>
      <c r="K336" s="535"/>
      <c r="L336" s="763"/>
    </row>
    <row r="337" spans="2:12" ht="12.75">
      <c r="B337" s="772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2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2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2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2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2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2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2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2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2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2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2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7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1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3"/>
      <c r="C351" s="540"/>
      <c r="D351" s="540"/>
      <c r="E351" s="540"/>
      <c r="F351" s="540"/>
      <c r="G351" s="540"/>
      <c r="H351" s="540"/>
      <c r="I351" s="540"/>
      <c r="J351" s="540"/>
      <c r="K351" s="540"/>
      <c r="L351" s="764"/>
    </row>
    <row r="352" spans="2:12" ht="12.75" customHeight="1">
      <c r="B352" s="1262" t="s">
        <v>263</v>
      </c>
      <c r="C352" s="1264" t="s">
        <v>22</v>
      </c>
      <c r="D352" s="1264" t="s">
        <v>264</v>
      </c>
      <c r="E352" s="1266" t="s">
        <v>265</v>
      </c>
      <c r="F352" s="1267"/>
      <c r="G352" s="1268"/>
      <c r="H352" s="1269" t="s">
        <v>266</v>
      </c>
      <c r="I352" s="1271" t="s">
        <v>267</v>
      </c>
      <c r="J352" s="1272"/>
      <c r="K352" s="1272"/>
      <c r="L352" s="1273"/>
    </row>
    <row r="353" spans="2:12" ht="11.25" customHeight="1">
      <c r="B353" s="1263"/>
      <c r="C353" s="1265"/>
      <c r="D353" s="1265"/>
      <c r="E353" s="1274" t="s">
        <v>304</v>
      </c>
      <c r="F353" s="1277" t="s">
        <v>305</v>
      </c>
      <c r="G353" s="1277" t="s">
        <v>306</v>
      </c>
      <c r="H353" s="1270"/>
      <c r="I353" s="1279" t="s">
        <v>271</v>
      </c>
      <c r="J353" s="1279" t="s">
        <v>24</v>
      </c>
      <c r="K353" s="1264" t="s">
        <v>272</v>
      </c>
      <c r="L353" s="1279" t="s">
        <v>273</v>
      </c>
    </row>
    <row r="354" spans="2:12" ht="11.25" customHeight="1">
      <c r="B354" s="1263"/>
      <c r="C354" s="1265"/>
      <c r="D354" s="1265"/>
      <c r="E354" s="1275"/>
      <c r="F354" s="1282"/>
      <c r="G354" s="1282"/>
      <c r="H354" s="1270"/>
      <c r="I354" s="1280"/>
      <c r="J354" s="1280"/>
      <c r="K354" s="1281"/>
      <c r="L354" s="1280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6"/>
      <c r="C356" s="535"/>
      <c r="D356" s="535"/>
      <c r="E356" s="535"/>
      <c r="F356" s="535"/>
      <c r="G356" s="535"/>
      <c r="H356" s="535"/>
      <c r="I356" s="535"/>
      <c r="J356" s="535"/>
      <c r="K356" s="535"/>
      <c r="L356" s="763"/>
    </row>
    <row r="357" spans="2:12" ht="12.75">
      <c r="B357" s="767"/>
      <c r="C357" s="1260" t="s">
        <v>300</v>
      </c>
      <c r="D357" s="1260"/>
      <c r="E357" s="1260"/>
      <c r="F357" s="1260"/>
      <c r="G357" s="1260"/>
      <c r="H357" s="1260"/>
      <c r="I357" s="1260"/>
      <c r="J357" s="1260"/>
      <c r="K357" s="1260"/>
      <c r="L357" s="1261"/>
    </row>
    <row r="358" spans="2:12" ht="12.75">
      <c r="B358" s="767"/>
      <c r="C358" s="545"/>
      <c r="D358" s="545"/>
      <c r="E358" s="545"/>
      <c r="F358" s="545"/>
      <c r="G358" s="545"/>
      <c r="H358" s="545"/>
      <c r="I358" s="545"/>
      <c r="J358" s="545"/>
      <c r="K358" s="545"/>
      <c r="L358" s="765"/>
    </row>
    <row r="359" spans="2:12" ht="12.75">
      <c r="B359" s="772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2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2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2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2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2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2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2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2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2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2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2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7"/>
    </row>
    <row r="371" spans="2:16" ht="12.75">
      <c r="B371" s="772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1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56" t="s">
        <v>263</v>
      </c>
      <c r="C393" s="1242" t="s">
        <v>22</v>
      </c>
      <c r="D393" s="1242" t="s">
        <v>264</v>
      </c>
      <c r="E393" s="1244" t="s">
        <v>265</v>
      </c>
      <c r="F393" s="1245"/>
      <c r="G393" s="1246"/>
      <c r="H393" s="1247" t="s">
        <v>266</v>
      </c>
      <c r="I393" s="1244" t="s">
        <v>267</v>
      </c>
      <c r="J393" s="1245"/>
      <c r="K393" s="1245"/>
      <c r="L393" s="1246"/>
    </row>
    <row r="394" spans="2:12" ht="11.25" customHeight="1">
      <c r="B394" s="1259"/>
      <c r="C394" s="1243"/>
      <c r="D394" s="1243"/>
      <c r="E394" s="1252" t="s">
        <v>304</v>
      </c>
      <c r="F394" s="1254" t="s">
        <v>305</v>
      </c>
      <c r="G394" s="1254" t="s">
        <v>306</v>
      </c>
      <c r="H394" s="1248"/>
      <c r="I394" s="1256" t="s">
        <v>271</v>
      </c>
      <c r="J394" s="1256" t="s">
        <v>24</v>
      </c>
      <c r="K394" s="1242" t="s">
        <v>272</v>
      </c>
      <c r="L394" s="1256" t="s">
        <v>273</v>
      </c>
    </row>
    <row r="395" spans="2:12" ht="11.25" customHeight="1">
      <c r="B395" s="1259"/>
      <c r="C395" s="1243"/>
      <c r="D395" s="1243"/>
      <c r="E395" s="1253"/>
      <c r="F395" s="1255"/>
      <c r="G395" s="1255"/>
      <c r="H395" s="1248"/>
      <c r="I395" s="1259"/>
      <c r="J395" s="1259"/>
      <c r="K395" s="1243"/>
      <c r="L395" s="1257"/>
    </row>
    <row r="396" spans="2:12" ht="12.75">
      <c r="B396" s="731">
        <v>0</v>
      </c>
      <c r="C396" s="730">
        <v>1</v>
      </c>
      <c r="D396" s="730">
        <v>2</v>
      </c>
      <c r="E396" s="731">
        <v>3</v>
      </c>
      <c r="F396" s="731">
        <v>4</v>
      </c>
      <c r="G396" s="730">
        <v>5</v>
      </c>
      <c r="H396" s="730">
        <v>6</v>
      </c>
      <c r="I396" s="730">
        <v>7</v>
      </c>
      <c r="J396" s="730">
        <v>8</v>
      </c>
      <c r="K396" s="732">
        <v>9</v>
      </c>
      <c r="L396" s="730">
        <v>10</v>
      </c>
    </row>
    <row r="397" spans="2:12" ht="12.75">
      <c r="B397" s="753"/>
      <c r="C397" s="733"/>
      <c r="D397" s="733"/>
      <c r="E397" s="733"/>
      <c r="F397" s="733"/>
      <c r="G397" s="733"/>
      <c r="H397" s="733"/>
      <c r="I397" s="733"/>
      <c r="J397" s="733"/>
      <c r="K397" s="733"/>
      <c r="L397" s="758"/>
    </row>
    <row r="398" spans="2:12" ht="14.25">
      <c r="B398" s="754"/>
      <c r="C398" s="1238" t="s">
        <v>274</v>
      </c>
      <c r="D398" s="1238"/>
      <c r="E398" s="1238"/>
      <c r="F398" s="1238"/>
      <c r="G398" s="1238"/>
      <c r="H398" s="1238"/>
      <c r="I398" s="1238"/>
      <c r="J398" s="1238"/>
      <c r="K398" s="1238"/>
      <c r="L398" s="1239"/>
    </row>
    <row r="399" spans="2:12" ht="12.75">
      <c r="B399" s="753"/>
      <c r="C399" s="733"/>
      <c r="D399" s="733"/>
      <c r="E399" s="733"/>
      <c r="F399" s="733"/>
      <c r="G399" s="733"/>
      <c r="H399" s="733"/>
      <c r="I399" s="733"/>
      <c r="J399" s="733"/>
      <c r="K399" s="733"/>
      <c r="L399" s="758"/>
    </row>
    <row r="400" spans="2:12" ht="12.75">
      <c r="B400" s="755" t="s">
        <v>275</v>
      </c>
      <c r="C400" s="734">
        <f>SUM(D400+H400)</f>
        <v>142019</v>
      </c>
      <c r="D400" s="734">
        <v>5112</v>
      </c>
      <c r="E400" s="734">
        <v>2410</v>
      </c>
      <c r="F400" s="734">
        <v>2274</v>
      </c>
      <c r="G400" s="734">
        <v>428</v>
      </c>
      <c r="H400" s="734">
        <v>136907</v>
      </c>
      <c r="I400" s="734">
        <v>21885</v>
      </c>
      <c r="J400" s="734">
        <v>43909</v>
      </c>
      <c r="K400" s="734">
        <v>71113</v>
      </c>
      <c r="L400" s="737">
        <v>0</v>
      </c>
    </row>
    <row r="401" spans="2:15" ht="12.75">
      <c r="B401" s="755" t="s">
        <v>276</v>
      </c>
      <c r="C401" s="734">
        <f t="shared" ref="C401:C405" si="10">SUM(D401+H401)</f>
        <v>137800</v>
      </c>
      <c r="D401" s="734">
        <v>4709</v>
      </c>
      <c r="E401" s="734">
        <v>2035</v>
      </c>
      <c r="F401" s="734">
        <v>2318</v>
      </c>
      <c r="G401" s="734">
        <v>356</v>
      </c>
      <c r="H401" s="734">
        <v>133091</v>
      </c>
      <c r="I401" s="734">
        <v>22712</v>
      </c>
      <c r="J401" s="734">
        <v>41741</v>
      </c>
      <c r="K401" s="734">
        <v>68638</v>
      </c>
      <c r="L401" s="737">
        <v>0</v>
      </c>
    </row>
    <row r="402" spans="2:15" ht="12.75">
      <c r="B402" s="755" t="s">
        <v>277</v>
      </c>
      <c r="C402" s="734">
        <f t="shared" si="10"/>
        <v>169805</v>
      </c>
      <c r="D402" s="735">
        <v>5406</v>
      </c>
      <c r="E402" s="735">
        <v>2609</v>
      </c>
      <c r="F402" s="735">
        <v>2592</v>
      </c>
      <c r="G402" s="736">
        <v>205</v>
      </c>
      <c r="H402" s="734">
        <v>164399</v>
      </c>
      <c r="I402" s="735">
        <v>28402</v>
      </c>
      <c r="J402" s="735">
        <v>50847</v>
      </c>
      <c r="K402" s="735">
        <v>85150</v>
      </c>
      <c r="L402" s="736">
        <v>0</v>
      </c>
      <c r="N402" s="734"/>
      <c r="O402" s="734"/>
    </row>
    <row r="403" spans="2:15" ht="12.75">
      <c r="B403" s="755" t="s">
        <v>278</v>
      </c>
      <c r="C403" s="734">
        <f>SUM(D403+H403)</f>
        <v>143826</v>
      </c>
      <c r="D403" s="734">
        <v>5957</v>
      </c>
      <c r="E403" s="737">
        <v>3079</v>
      </c>
      <c r="F403" s="737">
        <v>2627</v>
      </c>
      <c r="G403" s="734">
        <v>251</v>
      </c>
      <c r="H403" s="734">
        <v>137869</v>
      </c>
      <c r="I403" s="734">
        <v>21774</v>
      </c>
      <c r="J403" s="734">
        <v>43335</v>
      </c>
      <c r="K403" s="734">
        <v>72760</v>
      </c>
      <c r="L403" s="737">
        <v>0</v>
      </c>
      <c r="N403" s="734"/>
      <c r="O403" s="734"/>
    </row>
    <row r="404" spans="2:15" ht="12.75">
      <c r="B404" s="755" t="s">
        <v>279</v>
      </c>
      <c r="C404" s="734">
        <f>SUM(D404+H404)</f>
        <v>157519</v>
      </c>
      <c r="D404" s="759">
        <v>4757</v>
      </c>
      <c r="E404" s="702">
        <v>2322</v>
      </c>
      <c r="F404" s="704">
        <v>2142</v>
      </c>
      <c r="G404" s="704">
        <v>293</v>
      </c>
      <c r="H404" s="759">
        <v>152762</v>
      </c>
      <c r="I404" s="702">
        <v>24428</v>
      </c>
      <c r="J404" s="702">
        <v>42846</v>
      </c>
      <c r="K404" s="704">
        <v>85488</v>
      </c>
      <c r="L404" s="737">
        <v>0</v>
      </c>
      <c r="N404" s="787"/>
      <c r="O404" s="787"/>
    </row>
    <row r="405" spans="2:15" ht="12.75">
      <c r="B405" s="755" t="s">
        <v>280</v>
      </c>
      <c r="C405" s="734">
        <f t="shared" si="10"/>
        <v>167380</v>
      </c>
      <c r="D405" s="734">
        <v>5640</v>
      </c>
      <c r="E405" s="737">
        <v>2230</v>
      </c>
      <c r="F405" s="737">
        <v>3183</v>
      </c>
      <c r="G405" s="734">
        <v>227</v>
      </c>
      <c r="H405" s="734">
        <v>161740</v>
      </c>
      <c r="I405" s="734">
        <v>29820</v>
      </c>
      <c r="J405" s="734">
        <v>51196</v>
      </c>
      <c r="K405" s="734">
        <v>80724</v>
      </c>
      <c r="L405" s="737">
        <v>0</v>
      </c>
    </row>
    <row r="406" spans="2:15" ht="12.75">
      <c r="B406" s="755" t="s">
        <v>281</v>
      </c>
      <c r="C406" s="734">
        <f>SUM(D406+H406)</f>
        <v>171735</v>
      </c>
      <c r="D406" s="760">
        <v>5424</v>
      </c>
      <c r="E406" s="735">
        <v>2254</v>
      </c>
      <c r="F406" s="736">
        <v>2901</v>
      </c>
      <c r="G406" s="736">
        <v>269</v>
      </c>
      <c r="H406" s="734">
        <v>166311</v>
      </c>
      <c r="I406" s="735">
        <v>29103</v>
      </c>
      <c r="J406" s="735">
        <v>53333</v>
      </c>
      <c r="K406" s="735">
        <v>83875</v>
      </c>
      <c r="L406" s="736">
        <v>0</v>
      </c>
    </row>
    <row r="407" spans="2:15" ht="12.75">
      <c r="B407" s="755" t="s">
        <v>282</v>
      </c>
      <c r="C407" s="734">
        <v>169404</v>
      </c>
      <c r="D407" s="760">
        <v>5064</v>
      </c>
      <c r="E407" s="735">
        <v>2316</v>
      </c>
      <c r="F407" s="735">
        <v>2611</v>
      </c>
      <c r="G407" s="736">
        <v>137</v>
      </c>
      <c r="H407" s="734">
        <v>164340</v>
      </c>
      <c r="I407" s="735">
        <v>25228</v>
      </c>
      <c r="J407" s="735">
        <v>52498</v>
      </c>
      <c r="K407" s="735">
        <v>86614</v>
      </c>
      <c r="L407" s="736">
        <v>0</v>
      </c>
    </row>
    <row r="408" spans="2:15" ht="12.75">
      <c r="B408" s="755" t="s">
        <v>283</v>
      </c>
      <c r="C408" s="734">
        <v>172982</v>
      </c>
      <c r="D408" s="734">
        <v>6274</v>
      </c>
      <c r="E408" s="737">
        <v>2518</v>
      </c>
      <c r="F408" s="737">
        <v>3121</v>
      </c>
      <c r="G408" s="734">
        <v>635</v>
      </c>
      <c r="H408" s="734">
        <v>166708</v>
      </c>
      <c r="I408" s="734">
        <v>26444</v>
      </c>
      <c r="J408" s="734">
        <v>56017</v>
      </c>
      <c r="K408" s="734">
        <v>84247</v>
      </c>
      <c r="L408" s="737">
        <v>0</v>
      </c>
    </row>
    <row r="409" spans="2:15" ht="12.75">
      <c r="B409" s="755" t="s">
        <v>284</v>
      </c>
      <c r="C409" s="734">
        <v>178724</v>
      </c>
      <c r="D409" s="760">
        <v>5649</v>
      </c>
      <c r="E409" s="735">
        <v>2339</v>
      </c>
      <c r="F409" s="735">
        <v>2939</v>
      </c>
      <c r="G409" s="735">
        <v>371</v>
      </c>
      <c r="H409" s="737">
        <v>173075</v>
      </c>
      <c r="I409" s="735">
        <v>27983</v>
      </c>
      <c r="J409" s="735">
        <v>60272</v>
      </c>
      <c r="K409" s="735">
        <v>84820</v>
      </c>
      <c r="L409" s="736">
        <v>0</v>
      </c>
    </row>
    <row r="410" spans="2:15" ht="12.75">
      <c r="B410" s="755" t="s">
        <v>285</v>
      </c>
      <c r="C410" s="734">
        <f>SUM(D410+H410)</f>
        <v>169376</v>
      </c>
      <c r="D410" s="735">
        <v>4663</v>
      </c>
      <c r="E410" s="735">
        <v>2074</v>
      </c>
      <c r="F410" s="735">
        <v>2336</v>
      </c>
      <c r="G410" s="735">
        <v>253</v>
      </c>
      <c r="H410" s="735">
        <v>164713</v>
      </c>
      <c r="I410" s="735">
        <v>26084</v>
      </c>
      <c r="J410" s="735">
        <v>57837</v>
      </c>
      <c r="K410" s="735">
        <v>80792</v>
      </c>
      <c r="L410" s="735">
        <v>0</v>
      </c>
    </row>
    <row r="411" spans="2:15" ht="12.75">
      <c r="B411" s="755" t="s">
        <v>286</v>
      </c>
      <c r="C411" s="734">
        <f t="shared" ref="C411" si="11">SUM(D411+H411)</f>
        <v>152498</v>
      </c>
      <c r="D411" s="735">
        <v>5089</v>
      </c>
      <c r="E411" s="735">
        <v>2321</v>
      </c>
      <c r="F411" s="735">
        <v>2452</v>
      </c>
      <c r="G411" s="735">
        <v>316</v>
      </c>
      <c r="H411" s="735">
        <v>147409</v>
      </c>
      <c r="I411" s="735">
        <v>22785</v>
      </c>
      <c r="J411" s="735">
        <v>48292</v>
      </c>
      <c r="K411" s="735">
        <v>76332</v>
      </c>
      <c r="L411" s="735">
        <v>0</v>
      </c>
    </row>
    <row r="412" spans="2:15" ht="15">
      <c r="B412" s="757"/>
      <c r="C412" s="737"/>
      <c r="D412" s="737"/>
      <c r="E412" s="737"/>
      <c r="F412" s="737"/>
      <c r="G412" s="737"/>
      <c r="H412" s="737"/>
      <c r="I412" s="737"/>
      <c r="J412" s="737"/>
      <c r="K412" s="737"/>
      <c r="L412" s="750"/>
    </row>
    <row r="413" spans="2:15" ht="12.75">
      <c r="B413" s="756">
        <v>2017</v>
      </c>
      <c r="C413" s="738">
        <f t="shared" ref="C413:K413" si="12">SUM(C400:C411)</f>
        <v>1933068</v>
      </c>
      <c r="D413" s="738">
        <f>SUM(D400:D411)</f>
        <v>63744</v>
      </c>
      <c r="E413" s="738">
        <f t="shared" si="12"/>
        <v>28507</v>
      </c>
      <c r="F413" s="738">
        <f t="shared" si="12"/>
        <v>31496</v>
      </c>
      <c r="G413" s="738">
        <f>SUM(G400:G411)</f>
        <v>3741</v>
      </c>
      <c r="H413" s="738">
        <f t="shared" si="12"/>
        <v>1869324</v>
      </c>
      <c r="I413" s="738">
        <f t="shared" si="12"/>
        <v>306648</v>
      </c>
      <c r="J413" s="738">
        <f t="shared" si="12"/>
        <v>602123</v>
      </c>
      <c r="K413" s="738">
        <f t="shared" si="12"/>
        <v>960553</v>
      </c>
      <c r="L413" s="738">
        <f>SUM(L400:L411)</f>
        <v>0</v>
      </c>
    </row>
    <row r="414" spans="2:15" ht="12.75">
      <c r="B414" s="754"/>
      <c r="C414" s="739"/>
      <c r="D414" s="739"/>
      <c r="E414" s="739"/>
      <c r="F414" s="739"/>
      <c r="G414" s="739"/>
      <c r="H414" s="739"/>
      <c r="I414" s="739"/>
      <c r="J414" s="739"/>
      <c r="K414" s="739"/>
      <c r="L414" s="751"/>
    </row>
    <row r="415" spans="2:15" ht="12.75">
      <c r="B415" s="754"/>
      <c r="C415" s="1236" t="s">
        <v>299</v>
      </c>
      <c r="D415" s="1236"/>
      <c r="E415" s="1236"/>
      <c r="F415" s="1236"/>
      <c r="G415" s="1236"/>
      <c r="H415" s="1236"/>
      <c r="I415" s="1236"/>
      <c r="J415" s="1236"/>
      <c r="K415" s="1236"/>
      <c r="L415" s="1237"/>
    </row>
    <row r="416" spans="2:15" ht="12.75">
      <c r="B416" s="753"/>
      <c r="C416" s="739"/>
      <c r="D416" s="739"/>
      <c r="E416" s="739"/>
      <c r="F416" s="739"/>
      <c r="G416" s="739"/>
      <c r="H416" s="739"/>
      <c r="I416" s="739"/>
      <c r="J416" s="739"/>
      <c r="K416" s="739"/>
      <c r="L416" s="751"/>
    </row>
    <row r="417" spans="2:12" ht="12.75">
      <c r="B417" s="755" t="s">
        <v>275</v>
      </c>
      <c r="C417" s="734">
        <f t="shared" ref="C417:C423" si="13">SUM(D417+H417)</f>
        <v>41284749</v>
      </c>
      <c r="D417" s="734">
        <v>258614</v>
      </c>
      <c r="E417" s="734">
        <v>82064</v>
      </c>
      <c r="F417" s="734">
        <v>124018</v>
      </c>
      <c r="G417" s="734">
        <v>52532</v>
      </c>
      <c r="H417" s="734">
        <v>41026135</v>
      </c>
      <c r="I417" s="734">
        <v>5754367</v>
      </c>
      <c r="J417" s="734">
        <v>11777688</v>
      </c>
      <c r="K417" s="734">
        <v>23494080</v>
      </c>
      <c r="L417" s="734">
        <v>0</v>
      </c>
    </row>
    <row r="418" spans="2:12" ht="12.75">
      <c r="B418" s="755" t="s">
        <v>276</v>
      </c>
      <c r="C418" s="734">
        <f t="shared" si="13"/>
        <v>39885929</v>
      </c>
      <c r="D418" s="734">
        <v>248053</v>
      </c>
      <c r="E418" s="734">
        <v>69467</v>
      </c>
      <c r="F418" s="734">
        <v>130095</v>
      </c>
      <c r="G418" s="734">
        <v>48491</v>
      </c>
      <c r="H418" s="734">
        <v>39637876</v>
      </c>
      <c r="I418" s="734">
        <v>5869144</v>
      </c>
      <c r="J418" s="734">
        <v>11348293</v>
      </c>
      <c r="K418" s="734">
        <v>22420439</v>
      </c>
      <c r="L418" s="734">
        <v>0</v>
      </c>
    </row>
    <row r="419" spans="2:12" ht="12.75">
      <c r="B419" s="755" t="s">
        <v>277</v>
      </c>
      <c r="C419" s="734">
        <f t="shared" si="13"/>
        <v>49565417</v>
      </c>
      <c r="D419" s="735">
        <v>279950</v>
      </c>
      <c r="E419" s="735">
        <v>90328</v>
      </c>
      <c r="F419" s="735">
        <v>159641</v>
      </c>
      <c r="G419" s="736">
        <v>29981</v>
      </c>
      <c r="H419" s="734">
        <v>49285467</v>
      </c>
      <c r="I419" s="735">
        <v>7544830</v>
      </c>
      <c r="J419" s="735">
        <v>13676720</v>
      </c>
      <c r="K419" s="735">
        <v>28063917</v>
      </c>
      <c r="L419" s="736">
        <v>0</v>
      </c>
    </row>
    <row r="420" spans="2:12" ht="12.75">
      <c r="B420" s="755" t="s">
        <v>278</v>
      </c>
      <c r="C420" s="734">
        <f t="shared" si="13"/>
        <v>41822512</v>
      </c>
      <c r="D420" s="734">
        <v>297950</v>
      </c>
      <c r="E420" s="737">
        <v>106177</v>
      </c>
      <c r="F420" s="737">
        <v>154822</v>
      </c>
      <c r="G420" s="734">
        <v>36951</v>
      </c>
      <c r="H420" s="734">
        <v>41524562</v>
      </c>
      <c r="I420" s="734">
        <v>5781070</v>
      </c>
      <c r="J420" s="734">
        <v>11588848</v>
      </c>
      <c r="K420" s="734">
        <v>24154644</v>
      </c>
      <c r="L420" s="734">
        <v>0</v>
      </c>
    </row>
    <row r="421" spans="2:12" ht="12.75">
      <c r="B421" s="755" t="s">
        <v>279</v>
      </c>
      <c r="C421" s="734">
        <f t="shared" si="13"/>
        <v>47073682</v>
      </c>
      <c r="D421" s="702">
        <v>258829</v>
      </c>
      <c r="E421" s="702">
        <v>84615</v>
      </c>
      <c r="F421" s="702">
        <v>129240</v>
      </c>
      <c r="G421" s="702">
        <v>44974</v>
      </c>
      <c r="H421" s="702">
        <v>46814853</v>
      </c>
      <c r="I421" s="702">
        <v>6502594</v>
      </c>
      <c r="J421" s="702">
        <v>11727296</v>
      </c>
      <c r="K421" s="702">
        <v>28584963</v>
      </c>
      <c r="L421" s="734">
        <v>0</v>
      </c>
    </row>
    <row r="422" spans="2:12" ht="12.75">
      <c r="B422" s="755" t="s">
        <v>280</v>
      </c>
      <c r="C422" s="734">
        <f t="shared" si="13"/>
        <v>48420690</v>
      </c>
      <c r="D422" s="734">
        <v>290566</v>
      </c>
      <c r="E422" s="737">
        <v>79673</v>
      </c>
      <c r="F422" s="737">
        <v>178876</v>
      </c>
      <c r="G422" s="734">
        <v>32017</v>
      </c>
      <c r="H422" s="734">
        <v>48130124</v>
      </c>
      <c r="I422" s="734">
        <v>7982252</v>
      </c>
      <c r="J422" s="734">
        <v>13825867</v>
      </c>
      <c r="K422" s="734">
        <v>26322005</v>
      </c>
      <c r="L422" s="734">
        <v>0</v>
      </c>
    </row>
    <row r="423" spans="2:12" ht="12.75">
      <c r="B423" s="755" t="s">
        <v>281</v>
      </c>
      <c r="C423" s="734">
        <f t="shared" si="13"/>
        <v>49583982</v>
      </c>
      <c r="D423" s="735">
        <v>288103</v>
      </c>
      <c r="E423" s="735">
        <v>81207</v>
      </c>
      <c r="F423" s="735">
        <v>167580</v>
      </c>
      <c r="G423" s="736">
        <v>39316</v>
      </c>
      <c r="H423" s="734">
        <v>49295879</v>
      </c>
      <c r="I423" s="735">
        <v>7692900</v>
      </c>
      <c r="J423" s="735">
        <v>14162171</v>
      </c>
      <c r="K423" s="735">
        <v>27440808</v>
      </c>
      <c r="L423" s="736">
        <v>0</v>
      </c>
    </row>
    <row r="424" spans="2:12" ht="12.75">
      <c r="B424" s="755" t="s">
        <v>282</v>
      </c>
      <c r="C424" s="734">
        <v>49308554</v>
      </c>
      <c r="D424" s="735">
        <v>248689</v>
      </c>
      <c r="E424" s="735">
        <v>84427</v>
      </c>
      <c r="F424" s="735">
        <v>146773</v>
      </c>
      <c r="G424" s="736">
        <v>17489</v>
      </c>
      <c r="H424" s="734">
        <v>49059865</v>
      </c>
      <c r="I424" s="735">
        <v>6595512</v>
      </c>
      <c r="J424" s="735">
        <v>13787237</v>
      </c>
      <c r="K424" s="735">
        <v>28677116</v>
      </c>
      <c r="L424" s="736">
        <v>0</v>
      </c>
    </row>
    <row r="425" spans="2:12" ht="12.75">
      <c r="B425" s="755" t="s">
        <v>283</v>
      </c>
      <c r="C425" s="734">
        <v>49438456</v>
      </c>
      <c r="D425" s="735">
        <v>345800</v>
      </c>
      <c r="E425" s="735">
        <v>89061</v>
      </c>
      <c r="F425" s="735">
        <v>167893</v>
      </c>
      <c r="G425" s="736">
        <v>88846</v>
      </c>
      <c r="H425" s="734">
        <v>49092656</v>
      </c>
      <c r="I425" s="735">
        <v>6815830</v>
      </c>
      <c r="J425" s="735">
        <v>14849864</v>
      </c>
      <c r="K425" s="735">
        <v>27426962</v>
      </c>
      <c r="L425" s="736">
        <v>0</v>
      </c>
    </row>
    <row r="426" spans="2:12" ht="12.75">
      <c r="B426" s="755" t="s">
        <v>284</v>
      </c>
      <c r="C426" s="734">
        <v>50346027</v>
      </c>
      <c r="D426" s="735">
        <v>295352</v>
      </c>
      <c r="E426" s="735">
        <v>84726</v>
      </c>
      <c r="F426" s="735">
        <v>167445</v>
      </c>
      <c r="G426" s="735">
        <v>43181</v>
      </c>
      <c r="H426" s="737">
        <v>50050675</v>
      </c>
      <c r="I426" s="735">
        <v>7132124</v>
      </c>
      <c r="J426" s="735">
        <v>15718038</v>
      </c>
      <c r="K426" s="735">
        <v>27200513</v>
      </c>
      <c r="L426" s="736">
        <v>0</v>
      </c>
    </row>
    <row r="427" spans="2:12" ht="12.75">
      <c r="B427" s="755" t="s">
        <v>285</v>
      </c>
      <c r="C427" s="734">
        <f t="shared" ref="C427:C428" si="14">SUM(D427+H427)</f>
        <v>48798626</v>
      </c>
      <c r="D427" s="735">
        <v>261198</v>
      </c>
      <c r="E427" s="735">
        <v>70669</v>
      </c>
      <c r="F427" s="735">
        <v>148982</v>
      </c>
      <c r="G427" s="735">
        <v>41547</v>
      </c>
      <c r="H427" s="735">
        <v>48537428</v>
      </c>
      <c r="I427" s="735">
        <v>6751971</v>
      </c>
      <c r="J427" s="735">
        <v>15640889</v>
      </c>
      <c r="K427" s="735">
        <v>26144568</v>
      </c>
      <c r="L427" s="735">
        <v>0</v>
      </c>
    </row>
    <row r="428" spans="2:12" ht="12.75">
      <c r="B428" s="755" t="s">
        <v>286</v>
      </c>
      <c r="C428" s="734">
        <f t="shared" si="14"/>
        <v>43494618</v>
      </c>
      <c r="D428" s="735">
        <v>256297</v>
      </c>
      <c r="E428" s="735">
        <v>77163</v>
      </c>
      <c r="F428" s="735">
        <v>143113</v>
      </c>
      <c r="G428" s="735">
        <v>36021</v>
      </c>
      <c r="H428" s="735">
        <v>43238321</v>
      </c>
      <c r="I428" s="735">
        <v>5912817</v>
      </c>
      <c r="J428" s="735">
        <v>12978598</v>
      </c>
      <c r="K428" s="735">
        <v>24346906</v>
      </c>
      <c r="L428" s="735">
        <v>0</v>
      </c>
    </row>
    <row r="429" spans="2:12" ht="12.75">
      <c r="B429" s="754"/>
      <c r="C429" s="737"/>
      <c r="D429" s="737"/>
      <c r="E429" s="737"/>
      <c r="F429" s="737"/>
      <c r="G429" s="737"/>
      <c r="H429" s="737"/>
      <c r="I429" s="737"/>
      <c r="J429" s="737"/>
      <c r="K429" s="737"/>
      <c r="L429" s="734"/>
    </row>
    <row r="430" spans="2:12" ht="12.75">
      <c r="B430" s="756">
        <v>2017</v>
      </c>
      <c r="C430" s="738">
        <f t="shared" ref="C430:L430" si="15">SUM(C417:C428)</f>
        <v>559023242</v>
      </c>
      <c r="D430" s="738">
        <f t="shared" si="15"/>
        <v>3329401</v>
      </c>
      <c r="E430" s="738">
        <f t="shared" si="15"/>
        <v>999577</v>
      </c>
      <c r="F430" s="738">
        <f t="shared" si="15"/>
        <v>1818478</v>
      </c>
      <c r="G430" s="738">
        <f t="shared" si="15"/>
        <v>511346</v>
      </c>
      <c r="H430" s="738">
        <f t="shared" si="15"/>
        <v>555693841</v>
      </c>
      <c r="I430" s="738">
        <f t="shared" si="15"/>
        <v>80335411</v>
      </c>
      <c r="J430" s="738">
        <f t="shared" si="15"/>
        <v>161081509</v>
      </c>
      <c r="K430" s="738">
        <f t="shared" si="15"/>
        <v>314276921</v>
      </c>
      <c r="L430" s="738">
        <f t="shared" si="15"/>
        <v>0</v>
      </c>
    </row>
    <row r="431" spans="2:12" ht="12.75">
      <c r="B431" s="740"/>
      <c r="C431" s="741"/>
      <c r="D431" s="741"/>
      <c r="E431" s="741"/>
      <c r="F431" s="741"/>
      <c r="G431" s="741"/>
      <c r="H431" s="741"/>
      <c r="I431" s="741"/>
      <c r="J431" s="741"/>
      <c r="K431" s="741"/>
      <c r="L431" s="741"/>
    </row>
    <row r="432" spans="2:12" ht="12.75" customHeight="1">
      <c r="B432" s="1240" t="s">
        <v>263</v>
      </c>
      <c r="C432" s="1242" t="s">
        <v>22</v>
      </c>
      <c r="D432" s="1242" t="s">
        <v>264</v>
      </c>
      <c r="E432" s="1244" t="s">
        <v>265</v>
      </c>
      <c r="F432" s="1245"/>
      <c r="G432" s="1246"/>
      <c r="H432" s="1247" t="s">
        <v>266</v>
      </c>
      <c r="I432" s="1249" t="s">
        <v>267</v>
      </c>
      <c r="J432" s="1250"/>
      <c r="K432" s="1250"/>
      <c r="L432" s="1251"/>
    </row>
    <row r="433" spans="2:12" ht="11.25" customHeight="1">
      <c r="B433" s="1241"/>
      <c r="C433" s="1243"/>
      <c r="D433" s="1243"/>
      <c r="E433" s="1252" t="s">
        <v>304</v>
      </c>
      <c r="F433" s="1254" t="s">
        <v>305</v>
      </c>
      <c r="G433" s="1254" t="s">
        <v>306</v>
      </c>
      <c r="H433" s="1248"/>
      <c r="I433" s="1256" t="s">
        <v>271</v>
      </c>
      <c r="J433" s="1256" t="s">
        <v>24</v>
      </c>
      <c r="K433" s="1242" t="s">
        <v>272</v>
      </c>
      <c r="L433" s="1256" t="s">
        <v>273</v>
      </c>
    </row>
    <row r="434" spans="2:12" ht="11.25" customHeight="1">
      <c r="B434" s="1241"/>
      <c r="C434" s="1243"/>
      <c r="D434" s="1243"/>
      <c r="E434" s="1253"/>
      <c r="F434" s="1255"/>
      <c r="G434" s="1255"/>
      <c r="H434" s="1248"/>
      <c r="I434" s="1257"/>
      <c r="J434" s="1257"/>
      <c r="K434" s="1258"/>
      <c r="L434" s="1257"/>
    </row>
    <row r="435" spans="2:12" ht="12.75">
      <c r="B435" s="731">
        <v>0</v>
      </c>
      <c r="C435" s="742">
        <v>1</v>
      </c>
      <c r="D435" s="742">
        <v>2</v>
      </c>
      <c r="E435" s="743">
        <v>3</v>
      </c>
      <c r="F435" s="743">
        <v>4</v>
      </c>
      <c r="G435" s="742">
        <v>5</v>
      </c>
      <c r="H435" s="742">
        <v>6</v>
      </c>
      <c r="I435" s="742">
        <v>7</v>
      </c>
      <c r="J435" s="742">
        <v>8</v>
      </c>
      <c r="K435" s="742">
        <v>9</v>
      </c>
      <c r="L435" s="742">
        <v>10</v>
      </c>
    </row>
    <row r="436" spans="2:12" ht="12.75">
      <c r="B436" s="753"/>
      <c r="C436" s="739"/>
      <c r="D436" s="739"/>
      <c r="E436" s="739"/>
      <c r="F436" s="739"/>
      <c r="G436" s="739"/>
      <c r="H436" s="739"/>
      <c r="I436" s="739"/>
      <c r="J436" s="739"/>
      <c r="K436" s="739"/>
      <c r="L436" s="751"/>
    </row>
    <row r="437" spans="2:12" ht="12.75">
      <c r="B437" s="754"/>
      <c r="C437" s="1236" t="s">
        <v>300</v>
      </c>
      <c r="D437" s="1236"/>
      <c r="E437" s="1236"/>
      <c r="F437" s="1236"/>
      <c r="G437" s="1236"/>
      <c r="H437" s="1236"/>
      <c r="I437" s="1236"/>
      <c r="J437" s="1236"/>
      <c r="K437" s="1236"/>
      <c r="L437" s="1237"/>
    </row>
    <row r="438" spans="2:12" ht="12.75">
      <c r="B438" s="754"/>
      <c r="C438" s="744"/>
      <c r="D438" s="744"/>
      <c r="E438" s="744"/>
      <c r="F438" s="744"/>
      <c r="G438" s="744"/>
      <c r="H438" s="744"/>
      <c r="I438" s="744"/>
      <c r="J438" s="744"/>
      <c r="K438" s="744"/>
      <c r="L438" s="752"/>
    </row>
    <row r="439" spans="2:12" ht="12.75">
      <c r="B439" s="755" t="s">
        <v>275</v>
      </c>
      <c r="C439" s="734">
        <f>SUM(D439+H439)</f>
        <v>82047763</v>
      </c>
      <c r="D439" s="734">
        <v>445114</v>
      </c>
      <c r="E439" s="734">
        <v>144107</v>
      </c>
      <c r="F439" s="734">
        <v>212420</v>
      </c>
      <c r="G439" s="734">
        <v>88587</v>
      </c>
      <c r="H439" s="734">
        <v>81602649</v>
      </c>
      <c r="I439" s="734">
        <v>11433324</v>
      </c>
      <c r="J439" s="734">
        <v>24279425</v>
      </c>
      <c r="K439" s="734">
        <v>45889900</v>
      </c>
      <c r="L439" s="734">
        <v>0</v>
      </c>
    </row>
    <row r="440" spans="2:12" ht="12.75">
      <c r="B440" s="755" t="s">
        <v>276</v>
      </c>
      <c r="C440" s="734">
        <f t="shared" ref="C440:C444" si="16">SUM(D440+H440)</f>
        <v>79287813</v>
      </c>
      <c r="D440" s="734">
        <v>431200</v>
      </c>
      <c r="E440" s="734">
        <v>121487</v>
      </c>
      <c r="F440" s="734">
        <v>225727</v>
      </c>
      <c r="G440" s="734">
        <v>83986</v>
      </c>
      <c r="H440" s="734">
        <v>78856613</v>
      </c>
      <c r="I440" s="734">
        <v>11712359</v>
      </c>
      <c r="J440" s="734">
        <v>23159515</v>
      </c>
      <c r="K440" s="734">
        <v>43984739</v>
      </c>
      <c r="L440" s="734">
        <v>0</v>
      </c>
    </row>
    <row r="441" spans="2:12" ht="12.75">
      <c r="B441" s="755" t="s">
        <v>277</v>
      </c>
      <c r="C441" s="734">
        <f t="shared" si="16"/>
        <v>98808454</v>
      </c>
      <c r="D441" s="735">
        <v>475895</v>
      </c>
      <c r="E441" s="735">
        <v>153902</v>
      </c>
      <c r="F441" s="735">
        <v>271849</v>
      </c>
      <c r="G441" s="736">
        <v>50144</v>
      </c>
      <c r="H441" s="734">
        <v>98332559</v>
      </c>
      <c r="I441" s="735">
        <v>15012576</v>
      </c>
      <c r="J441" s="735">
        <v>28202934</v>
      </c>
      <c r="K441" s="735">
        <v>55117049</v>
      </c>
      <c r="L441" s="736">
        <v>0</v>
      </c>
    </row>
    <row r="442" spans="2:12" ht="12.75">
      <c r="B442" s="755" t="s">
        <v>278</v>
      </c>
      <c r="C442" s="734">
        <f t="shared" si="16"/>
        <v>83378440</v>
      </c>
      <c r="D442" s="734">
        <v>506953</v>
      </c>
      <c r="E442" s="737">
        <v>180973</v>
      </c>
      <c r="F442" s="737">
        <v>263009</v>
      </c>
      <c r="G442" s="737">
        <v>62971</v>
      </c>
      <c r="H442" s="734">
        <v>82871487</v>
      </c>
      <c r="I442" s="737">
        <v>11495417</v>
      </c>
      <c r="J442" s="737">
        <v>23956645</v>
      </c>
      <c r="K442" s="737">
        <v>47419425</v>
      </c>
      <c r="L442" s="737">
        <v>0</v>
      </c>
    </row>
    <row r="443" spans="2:12" ht="12.75">
      <c r="B443" s="755" t="s">
        <v>279</v>
      </c>
      <c r="C443" s="734">
        <f t="shared" si="16"/>
        <v>93901078</v>
      </c>
      <c r="D443" s="702">
        <v>444824</v>
      </c>
      <c r="E443" s="702">
        <v>145798</v>
      </c>
      <c r="F443" s="702">
        <v>221921</v>
      </c>
      <c r="G443" s="702">
        <v>77105</v>
      </c>
      <c r="H443" s="702">
        <v>93456254</v>
      </c>
      <c r="I443" s="703">
        <v>12989301</v>
      </c>
      <c r="J443" s="702">
        <v>24252314</v>
      </c>
      <c r="K443" s="702">
        <v>56214639</v>
      </c>
      <c r="L443" s="704">
        <v>0</v>
      </c>
    </row>
    <row r="444" spans="2:12" ht="12.75">
      <c r="B444" s="755" t="s">
        <v>280</v>
      </c>
      <c r="C444" s="734">
        <f t="shared" si="16"/>
        <v>97715871</v>
      </c>
      <c r="D444" s="734">
        <v>501090</v>
      </c>
      <c r="E444" s="737">
        <v>136122</v>
      </c>
      <c r="F444" s="737">
        <v>308716</v>
      </c>
      <c r="G444" s="737">
        <v>56252</v>
      </c>
      <c r="H444" s="734">
        <v>97214781</v>
      </c>
      <c r="I444" s="737">
        <v>15895397</v>
      </c>
      <c r="J444" s="737">
        <v>28478797</v>
      </c>
      <c r="K444" s="737">
        <v>52840587</v>
      </c>
      <c r="L444" s="737">
        <v>0</v>
      </c>
    </row>
    <row r="445" spans="2:12" ht="12.75">
      <c r="B445" s="755" t="s">
        <v>281</v>
      </c>
      <c r="C445" s="734">
        <f>SUM(D445+H445)</f>
        <v>99467079</v>
      </c>
      <c r="D445" s="735">
        <v>496753</v>
      </c>
      <c r="E445" s="735">
        <v>139368</v>
      </c>
      <c r="F445" s="735">
        <v>288296</v>
      </c>
      <c r="G445" s="736">
        <v>69089</v>
      </c>
      <c r="H445" s="734">
        <v>98970326</v>
      </c>
      <c r="I445" s="735">
        <v>15406513</v>
      </c>
      <c r="J445" s="735">
        <v>29584265</v>
      </c>
      <c r="K445" s="735">
        <v>53979548</v>
      </c>
      <c r="L445" s="736">
        <v>0</v>
      </c>
    </row>
    <row r="446" spans="2:12" ht="12.75">
      <c r="B446" s="755" t="s">
        <v>282</v>
      </c>
      <c r="C446" s="734">
        <v>98783442</v>
      </c>
      <c r="D446" s="735">
        <v>431889</v>
      </c>
      <c r="E446" s="735">
        <v>146917</v>
      </c>
      <c r="F446" s="735">
        <v>253926</v>
      </c>
      <c r="G446" s="736">
        <v>31046</v>
      </c>
      <c r="H446" s="734">
        <v>98351553</v>
      </c>
      <c r="I446" s="735">
        <v>13211629</v>
      </c>
      <c r="J446" s="735">
        <v>28906546</v>
      </c>
      <c r="K446" s="735">
        <v>56233378</v>
      </c>
      <c r="L446" s="736">
        <v>0</v>
      </c>
    </row>
    <row r="447" spans="2:12" ht="12.75">
      <c r="B447" s="755" t="s">
        <v>283</v>
      </c>
      <c r="C447" s="734">
        <v>99441068</v>
      </c>
      <c r="D447" s="734">
        <v>604779</v>
      </c>
      <c r="E447" s="737">
        <v>156559</v>
      </c>
      <c r="F447" s="737">
        <v>296235</v>
      </c>
      <c r="G447" s="737">
        <v>151985</v>
      </c>
      <c r="H447" s="734">
        <v>98836289</v>
      </c>
      <c r="I447" s="737">
        <v>13738070</v>
      </c>
      <c r="J447" s="737">
        <v>31047650</v>
      </c>
      <c r="K447" s="737">
        <v>54050569</v>
      </c>
      <c r="L447" s="737">
        <v>0</v>
      </c>
    </row>
    <row r="448" spans="2:12" ht="12.75">
      <c r="B448" s="755" t="s">
        <v>284</v>
      </c>
      <c r="C448" s="734">
        <v>100815036</v>
      </c>
      <c r="D448" s="735">
        <v>512334</v>
      </c>
      <c r="E448" s="735">
        <v>145829</v>
      </c>
      <c r="F448" s="735">
        <v>290888</v>
      </c>
      <c r="G448" s="735">
        <v>75617</v>
      </c>
      <c r="H448" s="737">
        <v>100302702</v>
      </c>
      <c r="I448" s="735">
        <v>14244388</v>
      </c>
      <c r="J448" s="735">
        <v>32756234</v>
      </c>
      <c r="K448" s="735">
        <v>53302080</v>
      </c>
      <c r="L448" s="736">
        <v>0</v>
      </c>
    </row>
    <row r="449" spans="2:12" ht="12.75">
      <c r="B449" s="755" t="s">
        <v>285</v>
      </c>
      <c r="C449" s="734">
        <f t="shared" ref="C449:C450" si="17">SUM(D449+H449)</f>
        <v>97522278</v>
      </c>
      <c r="D449" s="735">
        <v>455737</v>
      </c>
      <c r="E449" s="735">
        <v>125370</v>
      </c>
      <c r="F449" s="735">
        <v>259194</v>
      </c>
      <c r="G449" s="736">
        <v>71173</v>
      </c>
      <c r="H449" s="745">
        <v>97066541</v>
      </c>
      <c r="I449" s="735">
        <v>13496180</v>
      </c>
      <c r="J449" s="735">
        <v>32357917</v>
      </c>
      <c r="K449" s="735">
        <v>51212444</v>
      </c>
      <c r="L449" s="735">
        <v>0</v>
      </c>
    </row>
    <row r="450" spans="2:12" ht="12.75">
      <c r="B450" s="755" t="s">
        <v>286</v>
      </c>
      <c r="C450" s="734">
        <f t="shared" si="17"/>
        <v>87972319</v>
      </c>
      <c r="D450" s="735">
        <v>449241</v>
      </c>
      <c r="E450" s="735">
        <v>137836</v>
      </c>
      <c r="F450" s="735">
        <v>249036</v>
      </c>
      <c r="G450" s="736">
        <v>62369</v>
      </c>
      <c r="H450" s="745">
        <v>87523078</v>
      </c>
      <c r="I450" s="735">
        <v>11823830</v>
      </c>
      <c r="J450" s="735">
        <v>26806394</v>
      </c>
      <c r="K450" s="735">
        <v>48892854</v>
      </c>
      <c r="L450" s="735">
        <v>0</v>
      </c>
    </row>
    <row r="451" spans="2:12" ht="12.75">
      <c r="B451" s="755"/>
      <c r="C451" s="746"/>
      <c r="D451" s="747"/>
      <c r="E451" s="748"/>
      <c r="F451" s="748"/>
      <c r="G451" s="748"/>
      <c r="H451" s="747"/>
      <c r="I451" s="748"/>
      <c r="J451" s="748"/>
      <c r="K451" s="748"/>
      <c r="L451" s="748"/>
    </row>
    <row r="452" spans="2:12" ht="12.75">
      <c r="B452" s="756">
        <v>2017</v>
      </c>
      <c r="C452" s="749">
        <f t="shared" ref="C452:K452" si="18">SUM(C439:C450)</f>
        <v>1119140641</v>
      </c>
      <c r="D452" s="749">
        <f t="shared" si="18"/>
        <v>5755809</v>
      </c>
      <c r="E452" s="749">
        <f t="shared" si="18"/>
        <v>1734268</v>
      </c>
      <c r="F452" s="749">
        <f t="shared" si="18"/>
        <v>3141217</v>
      </c>
      <c r="G452" s="749">
        <f t="shared" si="18"/>
        <v>880324</v>
      </c>
      <c r="H452" s="749">
        <f t="shared" si="18"/>
        <v>1113384832</v>
      </c>
      <c r="I452" s="749">
        <f t="shared" si="18"/>
        <v>160458984</v>
      </c>
      <c r="J452" s="749">
        <f t="shared" si="18"/>
        <v>333788636</v>
      </c>
      <c r="K452" s="749">
        <f t="shared" si="18"/>
        <v>619137212</v>
      </c>
      <c r="L452" s="749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348</v>
      </c>
    </row>
    <row r="474" spans="2:12" ht="18">
      <c r="B474" s="882"/>
      <c r="C474" s="882"/>
      <c r="D474" s="882"/>
      <c r="E474" s="882"/>
      <c r="F474" s="883" t="s">
        <v>262</v>
      </c>
      <c r="G474" s="882"/>
      <c r="H474" s="882"/>
      <c r="I474" s="882"/>
      <c r="J474" s="882"/>
      <c r="K474" s="882"/>
      <c r="L474" s="882"/>
    </row>
    <row r="475" spans="2:12" ht="12.75" customHeight="1">
      <c r="B475" s="1256" t="s">
        <v>263</v>
      </c>
      <c r="C475" s="1242" t="s">
        <v>22</v>
      </c>
      <c r="D475" s="1242" t="s">
        <v>264</v>
      </c>
      <c r="E475" s="1244" t="s">
        <v>265</v>
      </c>
      <c r="F475" s="1245"/>
      <c r="G475" s="1246"/>
      <c r="H475" s="1247" t="s">
        <v>266</v>
      </c>
      <c r="I475" s="1244" t="s">
        <v>267</v>
      </c>
      <c r="J475" s="1245"/>
      <c r="K475" s="1245"/>
      <c r="L475" s="1246"/>
    </row>
    <row r="476" spans="2:12" ht="11.25" customHeight="1">
      <c r="B476" s="1259"/>
      <c r="C476" s="1243"/>
      <c r="D476" s="1243"/>
      <c r="E476" s="1252" t="s">
        <v>304</v>
      </c>
      <c r="F476" s="1254" t="s">
        <v>305</v>
      </c>
      <c r="G476" s="1254" t="s">
        <v>306</v>
      </c>
      <c r="H476" s="1248"/>
      <c r="I476" s="1256" t="s">
        <v>271</v>
      </c>
      <c r="J476" s="1256" t="s">
        <v>24</v>
      </c>
      <c r="K476" s="1242" t="s">
        <v>272</v>
      </c>
      <c r="L476" s="1256" t="s">
        <v>273</v>
      </c>
    </row>
    <row r="477" spans="2:12" ht="11.25" customHeight="1">
      <c r="B477" s="1259"/>
      <c r="C477" s="1243"/>
      <c r="D477" s="1243"/>
      <c r="E477" s="1253"/>
      <c r="F477" s="1255"/>
      <c r="G477" s="1255"/>
      <c r="H477" s="1248"/>
      <c r="I477" s="1259"/>
      <c r="J477" s="1259"/>
      <c r="K477" s="1243"/>
      <c r="L477" s="1257"/>
    </row>
    <row r="478" spans="2:12" ht="12.75">
      <c r="B478" s="731">
        <v>0</v>
      </c>
      <c r="C478" s="730">
        <v>1</v>
      </c>
      <c r="D478" s="730">
        <v>2</v>
      </c>
      <c r="E478" s="731">
        <v>3</v>
      </c>
      <c r="F478" s="731">
        <v>4</v>
      </c>
      <c r="G478" s="730">
        <v>5</v>
      </c>
      <c r="H478" s="730">
        <v>6</v>
      </c>
      <c r="I478" s="730">
        <v>7</v>
      </c>
      <c r="J478" s="730">
        <v>8</v>
      </c>
      <c r="K478" s="732">
        <v>9</v>
      </c>
      <c r="L478" s="730">
        <v>10</v>
      </c>
    </row>
    <row r="479" spans="2:12" ht="12.75">
      <c r="B479" s="753"/>
      <c r="C479" s="733"/>
      <c r="D479" s="733"/>
      <c r="E479" s="733"/>
      <c r="F479" s="733"/>
      <c r="G479" s="733"/>
      <c r="H479" s="733"/>
      <c r="I479" s="733"/>
      <c r="J479" s="733"/>
      <c r="K479" s="733"/>
      <c r="L479" s="758"/>
    </row>
    <row r="480" spans="2:12" ht="14.25">
      <c r="B480" s="754"/>
      <c r="C480" s="1238" t="s">
        <v>274</v>
      </c>
      <c r="D480" s="1238"/>
      <c r="E480" s="1238"/>
      <c r="F480" s="1238"/>
      <c r="G480" s="1238"/>
      <c r="H480" s="1238"/>
      <c r="I480" s="1238"/>
      <c r="J480" s="1238"/>
      <c r="K480" s="1238"/>
      <c r="L480" s="1239"/>
    </row>
    <row r="481" spans="2:12" ht="12.75">
      <c r="B481" s="753"/>
      <c r="C481" s="733"/>
      <c r="D481" s="733"/>
      <c r="E481" s="733"/>
      <c r="F481" s="733"/>
      <c r="G481" s="733"/>
      <c r="H481" s="733"/>
      <c r="I481" s="733"/>
      <c r="J481" s="733"/>
      <c r="K481" s="733"/>
      <c r="L481" s="758"/>
    </row>
    <row r="482" spans="2:12" ht="15">
      <c r="B482" s="884" t="s">
        <v>275</v>
      </c>
      <c r="C482" s="734">
        <f>SUM(D482+H482)</f>
        <v>153311</v>
      </c>
      <c r="D482" s="734">
        <v>4907</v>
      </c>
      <c r="E482" s="734">
        <v>2376</v>
      </c>
      <c r="F482" s="734">
        <v>2183</v>
      </c>
      <c r="G482" s="734">
        <v>348</v>
      </c>
      <c r="H482" s="734">
        <v>148404</v>
      </c>
      <c r="I482" s="734">
        <v>23209</v>
      </c>
      <c r="J482" s="734">
        <v>48538</v>
      </c>
      <c r="K482" s="734">
        <v>76657</v>
      </c>
      <c r="L482" s="734">
        <v>0</v>
      </c>
    </row>
    <row r="483" spans="2:12" ht="15">
      <c r="B483" s="884" t="s">
        <v>276</v>
      </c>
      <c r="C483" s="734">
        <f t="shared" ref="C483:C487" si="21">SUM(D483+H483)</f>
        <v>149700</v>
      </c>
      <c r="D483" s="734">
        <v>4276</v>
      </c>
      <c r="E483" s="734">
        <v>1971</v>
      </c>
      <c r="F483" s="734">
        <v>2099</v>
      </c>
      <c r="G483" s="734">
        <v>206</v>
      </c>
      <c r="H483" s="734">
        <v>145424</v>
      </c>
      <c r="I483" s="734">
        <v>23853</v>
      </c>
      <c r="J483" s="734">
        <v>43685</v>
      </c>
      <c r="K483" s="734">
        <v>77886</v>
      </c>
      <c r="L483" s="734">
        <v>0</v>
      </c>
    </row>
    <row r="484" spans="2:12" ht="15">
      <c r="B484" s="884" t="s">
        <v>277</v>
      </c>
      <c r="C484" s="734">
        <f t="shared" si="21"/>
        <v>176360</v>
      </c>
      <c r="D484" s="735">
        <v>5618</v>
      </c>
      <c r="E484" s="735">
        <v>2663</v>
      </c>
      <c r="F484" s="735">
        <v>2694</v>
      </c>
      <c r="G484" s="736">
        <v>261</v>
      </c>
      <c r="H484" s="734">
        <v>170742</v>
      </c>
      <c r="I484" s="735">
        <v>27174</v>
      </c>
      <c r="J484" s="735">
        <v>52139</v>
      </c>
      <c r="K484" s="735">
        <v>91429</v>
      </c>
      <c r="L484" s="736">
        <v>0</v>
      </c>
    </row>
    <row r="485" spans="2:12" ht="15">
      <c r="B485" s="884" t="s">
        <v>278</v>
      </c>
      <c r="C485" s="734">
        <f>SUM(D485+H485)</f>
        <v>152257</v>
      </c>
      <c r="D485" s="734">
        <v>4644</v>
      </c>
      <c r="E485" s="737">
        <v>2428</v>
      </c>
      <c r="F485" s="737">
        <v>2008</v>
      </c>
      <c r="G485" s="734">
        <v>208</v>
      </c>
      <c r="H485" s="734">
        <v>147613</v>
      </c>
      <c r="I485" s="734">
        <v>23760</v>
      </c>
      <c r="J485" s="734">
        <v>44089</v>
      </c>
      <c r="K485" s="734">
        <v>79764</v>
      </c>
      <c r="L485" s="734">
        <v>0</v>
      </c>
    </row>
    <row r="486" spans="2:12" ht="15">
      <c r="B486" s="884" t="s">
        <v>279</v>
      </c>
      <c r="C486" s="734">
        <f>SUM(D486+H486)</f>
        <v>162957</v>
      </c>
      <c r="D486" s="759">
        <v>4436</v>
      </c>
      <c r="E486" s="702">
        <v>1879</v>
      </c>
      <c r="F486" s="704">
        <v>2351</v>
      </c>
      <c r="G486" s="704">
        <v>206</v>
      </c>
      <c r="H486" s="759">
        <v>158521</v>
      </c>
      <c r="I486" s="702">
        <v>25665</v>
      </c>
      <c r="J486" s="702">
        <v>43148</v>
      </c>
      <c r="K486" s="704">
        <v>89708</v>
      </c>
      <c r="L486" s="734">
        <v>0</v>
      </c>
    </row>
    <row r="487" spans="2:12" ht="15">
      <c r="B487" s="884" t="s">
        <v>280</v>
      </c>
      <c r="C487" s="734">
        <f t="shared" si="21"/>
        <v>181713</v>
      </c>
      <c r="D487" s="734">
        <v>5439</v>
      </c>
      <c r="E487" s="737">
        <v>2129</v>
      </c>
      <c r="F487" s="737">
        <v>3088</v>
      </c>
      <c r="G487" s="734">
        <v>222</v>
      </c>
      <c r="H487" s="734">
        <v>176274</v>
      </c>
      <c r="I487" s="734">
        <v>31296</v>
      </c>
      <c r="J487" s="734">
        <v>51302</v>
      </c>
      <c r="K487" s="734">
        <v>93676</v>
      </c>
      <c r="L487" s="734">
        <v>0</v>
      </c>
    </row>
    <row r="488" spans="2:12" ht="15">
      <c r="B488" s="884" t="s">
        <v>281</v>
      </c>
      <c r="C488" s="734">
        <f>SUM(D488+H488)</f>
        <v>167840</v>
      </c>
      <c r="D488" s="760">
        <v>5002</v>
      </c>
      <c r="E488" s="735">
        <v>2060</v>
      </c>
      <c r="F488" s="736">
        <v>2632</v>
      </c>
      <c r="G488" s="736">
        <v>310</v>
      </c>
      <c r="H488" s="734">
        <v>162838</v>
      </c>
      <c r="I488" s="735">
        <v>28780</v>
      </c>
      <c r="J488" s="735">
        <v>54814</v>
      </c>
      <c r="K488" s="735">
        <v>79244</v>
      </c>
      <c r="L488" s="736">
        <v>0</v>
      </c>
    </row>
    <row r="489" spans="2:12" ht="15">
      <c r="B489" s="884" t="s">
        <v>282</v>
      </c>
      <c r="C489" s="734">
        <v>172228</v>
      </c>
      <c r="D489" s="760">
        <v>4825</v>
      </c>
      <c r="E489" s="735">
        <v>1907</v>
      </c>
      <c r="F489" s="735">
        <v>2589</v>
      </c>
      <c r="G489" s="736">
        <v>329</v>
      </c>
      <c r="H489" s="734">
        <v>167403</v>
      </c>
      <c r="I489" s="735">
        <v>26432</v>
      </c>
      <c r="J489" s="735">
        <v>56705</v>
      </c>
      <c r="K489" s="735">
        <v>84266</v>
      </c>
      <c r="L489" s="736">
        <v>0</v>
      </c>
    </row>
    <row r="490" spans="2:12" ht="15">
      <c r="B490" s="884" t="s">
        <v>283</v>
      </c>
      <c r="C490" s="734">
        <v>160101</v>
      </c>
      <c r="D490" s="734">
        <v>5229</v>
      </c>
      <c r="E490" s="737">
        <v>1936</v>
      </c>
      <c r="F490" s="737">
        <v>2930</v>
      </c>
      <c r="G490" s="734">
        <v>363</v>
      </c>
      <c r="H490" s="734">
        <v>154872</v>
      </c>
      <c r="I490" s="734">
        <v>25855</v>
      </c>
      <c r="J490" s="734">
        <v>53933</v>
      </c>
      <c r="K490" s="734">
        <v>75084</v>
      </c>
      <c r="L490" s="734">
        <v>0</v>
      </c>
    </row>
    <row r="491" spans="2:12" ht="15">
      <c r="B491" s="885" t="s">
        <v>284</v>
      </c>
      <c r="C491" s="997">
        <v>176881</v>
      </c>
      <c r="D491" s="999">
        <v>4941</v>
      </c>
      <c r="E491" s="1000">
        <v>1899</v>
      </c>
      <c r="F491" s="1000">
        <v>2767</v>
      </c>
      <c r="G491" s="1000">
        <v>275</v>
      </c>
      <c r="H491" s="998">
        <v>171940</v>
      </c>
      <c r="I491" s="1000">
        <v>28983</v>
      </c>
      <c r="J491" s="1000">
        <v>60425</v>
      </c>
      <c r="K491" s="1000">
        <v>82532</v>
      </c>
      <c r="L491" s="736"/>
    </row>
    <row r="492" spans="2:12" ht="15">
      <c r="B492" s="885" t="s">
        <v>285</v>
      </c>
      <c r="C492" s="997">
        <v>157650</v>
      </c>
      <c r="D492" s="1000">
        <v>4336</v>
      </c>
      <c r="E492" s="1000">
        <v>1814</v>
      </c>
      <c r="F492" s="1000">
        <v>2017</v>
      </c>
      <c r="G492" s="1000">
        <v>505</v>
      </c>
      <c r="H492" s="1000">
        <v>153314</v>
      </c>
      <c r="I492" s="1000">
        <v>26176</v>
      </c>
      <c r="J492" s="1000">
        <v>53316</v>
      </c>
      <c r="K492" s="1000">
        <v>73822</v>
      </c>
      <c r="L492" s="736"/>
    </row>
    <row r="493" spans="2:12" ht="15">
      <c r="B493" s="885" t="s">
        <v>286</v>
      </c>
      <c r="C493" s="734">
        <v>133310</v>
      </c>
      <c r="D493" s="735">
        <v>4231</v>
      </c>
      <c r="E493" s="735">
        <v>2037</v>
      </c>
      <c r="F493" s="735">
        <v>1869</v>
      </c>
      <c r="G493" s="735">
        <v>325</v>
      </c>
      <c r="H493" s="735">
        <v>129079</v>
      </c>
      <c r="I493" s="735">
        <v>21017</v>
      </c>
      <c r="J493" s="735">
        <v>43426</v>
      </c>
      <c r="K493" s="735">
        <v>64636</v>
      </c>
      <c r="L493" s="736"/>
    </row>
    <row r="494" spans="2:12" ht="15">
      <c r="B494" s="757"/>
      <c r="C494" s="737"/>
      <c r="D494" s="737"/>
      <c r="E494" s="737"/>
      <c r="F494" s="737"/>
      <c r="G494" s="737"/>
      <c r="H494" s="737"/>
      <c r="I494" s="737"/>
      <c r="J494" s="737"/>
      <c r="K494" s="737"/>
      <c r="L494" s="734"/>
    </row>
    <row r="495" spans="2:12" ht="12.75">
      <c r="B495" s="756">
        <v>2018</v>
      </c>
      <c r="C495" s="738">
        <f t="shared" ref="C495:K495" si="22">SUM(C482:C493)</f>
        <v>1944308</v>
      </c>
      <c r="D495" s="738">
        <f>SUM(D482:D493)</f>
        <v>57884</v>
      </c>
      <c r="E495" s="738">
        <f t="shared" si="22"/>
        <v>25099</v>
      </c>
      <c r="F495" s="738">
        <f t="shared" si="22"/>
        <v>29227</v>
      </c>
      <c r="G495" s="738">
        <f>SUM(G482:G493)</f>
        <v>3558</v>
      </c>
      <c r="H495" s="738">
        <f t="shared" si="22"/>
        <v>1886424</v>
      </c>
      <c r="I495" s="738">
        <f t="shared" si="22"/>
        <v>312200</v>
      </c>
      <c r="J495" s="738">
        <f t="shared" si="22"/>
        <v>605520</v>
      </c>
      <c r="K495" s="738">
        <f t="shared" si="22"/>
        <v>968704</v>
      </c>
      <c r="L495" s="738">
        <f>SUM(L482:L493)</f>
        <v>0</v>
      </c>
    </row>
    <row r="496" spans="2:12" ht="12.75">
      <c r="B496" s="754"/>
      <c r="C496" s="739"/>
      <c r="D496" s="739"/>
      <c r="E496" s="739"/>
      <c r="F496" s="739"/>
      <c r="G496" s="739"/>
      <c r="H496" s="739"/>
      <c r="I496" s="739"/>
      <c r="J496" s="739"/>
      <c r="K496" s="739"/>
      <c r="L496" s="751"/>
    </row>
    <row r="497" spans="2:12" ht="12.75">
      <c r="B497" s="754"/>
      <c r="C497" s="1236" t="s">
        <v>299</v>
      </c>
      <c r="D497" s="1236"/>
      <c r="E497" s="1236"/>
      <c r="F497" s="1236"/>
      <c r="G497" s="1236"/>
      <c r="H497" s="1236"/>
      <c r="I497" s="1236"/>
      <c r="J497" s="1236"/>
      <c r="K497" s="1236"/>
      <c r="L497" s="1237"/>
    </row>
    <row r="498" spans="2:12" ht="12.75">
      <c r="B498" s="753"/>
      <c r="C498" s="739"/>
      <c r="D498" s="739"/>
      <c r="E498" s="739"/>
      <c r="F498" s="739"/>
      <c r="G498" s="739"/>
      <c r="H498" s="739"/>
      <c r="I498" s="739"/>
      <c r="J498" s="739"/>
      <c r="K498" s="739"/>
      <c r="L498" s="751"/>
    </row>
    <row r="499" spans="2:12" ht="12.75">
      <c r="B499" s="755" t="s">
        <v>275</v>
      </c>
      <c r="C499" s="734">
        <f t="shared" ref="C499:C505" si="23">SUM(D499+H499)</f>
        <v>45099890</v>
      </c>
      <c r="D499" s="734">
        <v>252878</v>
      </c>
      <c r="E499" s="734">
        <v>84059</v>
      </c>
      <c r="F499" s="734">
        <v>124324</v>
      </c>
      <c r="G499" s="734">
        <v>44495</v>
      </c>
      <c r="H499" s="734">
        <v>44847012</v>
      </c>
      <c r="I499" s="734">
        <v>6130268</v>
      </c>
      <c r="J499" s="734">
        <v>13150822</v>
      </c>
      <c r="K499" s="734">
        <v>25565922</v>
      </c>
      <c r="L499" s="734">
        <v>0</v>
      </c>
    </row>
    <row r="500" spans="2:12" ht="12.75">
      <c r="B500" s="755" t="s">
        <v>276</v>
      </c>
      <c r="C500" s="734">
        <f t="shared" si="23"/>
        <v>44003287</v>
      </c>
      <c r="D500" s="734">
        <v>212882</v>
      </c>
      <c r="E500" s="734">
        <v>66858</v>
      </c>
      <c r="F500" s="734">
        <v>119964</v>
      </c>
      <c r="G500" s="734">
        <v>26060</v>
      </c>
      <c r="H500" s="734">
        <v>43790405</v>
      </c>
      <c r="I500" s="734">
        <v>6249605</v>
      </c>
      <c r="J500" s="734">
        <v>11767910</v>
      </c>
      <c r="K500" s="734">
        <v>25772890</v>
      </c>
      <c r="L500" s="734">
        <v>0</v>
      </c>
    </row>
    <row r="501" spans="2:12" ht="12.75">
      <c r="B501" s="755" t="s">
        <v>277</v>
      </c>
      <c r="C501" s="734">
        <f t="shared" si="23"/>
        <v>51532662</v>
      </c>
      <c r="D501" s="735">
        <v>276186</v>
      </c>
      <c r="E501" s="735">
        <v>92377</v>
      </c>
      <c r="F501" s="735">
        <v>149908</v>
      </c>
      <c r="G501" s="736">
        <v>33901</v>
      </c>
      <c r="H501" s="734">
        <v>51256476</v>
      </c>
      <c r="I501" s="735">
        <v>7135756</v>
      </c>
      <c r="J501" s="735">
        <v>13997142</v>
      </c>
      <c r="K501" s="735">
        <v>30123578</v>
      </c>
      <c r="L501" s="736">
        <v>0</v>
      </c>
    </row>
    <row r="502" spans="2:12" ht="12.75">
      <c r="B502" s="755" t="s">
        <v>278</v>
      </c>
      <c r="C502" s="734">
        <f t="shared" si="23"/>
        <v>45189937</v>
      </c>
      <c r="D502" s="734">
        <v>208679</v>
      </c>
      <c r="E502" s="737">
        <v>67024</v>
      </c>
      <c r="F502" s="737">
        <v>110501</v>
      </c>
      <c r="G502" s="734">
        <v>31154</v>
      </c>
      <c r="H502" s="734">
        <v>44981258</v>
      </c>
      <c r="I502" s="734">
        <v>6355996</v>
      </c>
      <c r="J502" s="734">
        <v>11909326</v>
      </c>
      <c r="K502" s="734">
        <v>26715936</v>
      </c>
      <c r="L502" s="734">
        <v>0</v>
      </c>
    </row>
    <row r="503" spans="2:12" ht="12.75">
      <c r="B503" s="755" t="s">
        <v>279</v>
      </c>
      <c r="C503" s="734">
        <f t="shared" si="23"/>
        <v>48304474</v>
      </c>
      <c r="D503" s="702">
        <v>222782</v>
      </c>
      <c r="E503" s="702">
        <v>65617</v>
      </c>
      <c r="F503" s="702">
        <v>131166</v>
      </c>
      <c r="G503" s="702">
        <v>25999</v>
      </c>
      <c r="H503" s="702">
        <v>48081692</v>
      </c>
      <c r="I503" s="702">
        <v>6862169</v>
      </c>
      <c r="J503" s="702">
        <v>11707521</v>
      </c>
      <c r="K503" s="704">
        <v>29512002</v>
      </c>
      <c r="L503" s="734">
        <v>0</v>
      </c>
    </row>
    <row r="504" spans="2:12" ht="12.75">
      <c r="B504" s="755" t="s">
        <v>280</v>
      </c>
      <c r="C504" s="734">
        <f t="shared" si="23"/>
        <v>51811853</v>
      </c>
      <c r="D504" s="734">
        <v>282004</v>
      </c>
      <c r="E504" s="737">
        <v>76688</v>
      </c>
      <c r="F504" s="737">
        <v>177674</v>
      </c>
      <c r="G504" s="734">
        <v>27642</v>
      </c>
      <c r="H504" s="734">
        <v>51529849</v>
      </c>
      <c r="I504" s="734">
        <v>8016005</v>
      </c>
      <c r="J504" s="734">
        <v>13339077</v>
      </c>
      <c r="K504" s="734">
        <v>30174767</v>
      </c>
      <c r="L504" s="734">
        <v>0</v>
      </c>
    </row>
    <row r="505" spans="2:12" ht="12.75">
      <c r="B505" s="755" t="s">
        <v>281</v>
      </c>
      <c r="C505" s="734">
        <f t="shared" si="23"/>
        <v>48842758</v>
      </c>
      <c r="D505" s="735">
        <v>265436</v>
      </c>
      <c r="E505" s="735">
        <v>71941</v>
      </c>
      <c r="F505" s="735">
        <v>155048</v>
      </c>
      <c r="G505" s="736">
        <v>38447</v>
      </c>
      <c r="H505" s="734">
        <v>48577322</v>
      </c>
      <c r="I505" s="735">
        <v>7658442</v>
      </c>
      <c r="J505" s="735">
        <v>14565252</v>
      </c>
      <c r="K505" s="735">
        <v>26353628</v>
      </c>
      <c r="L505" s="736">
        <v>0</v>
      </c>
    </row>
    <row r="506" spans="2:12" ht="12.75">
      <c r="B506" s="755" t="s">
        <v>282</v>
      </c>
      <c r="C506" s="734">
        <v>48263436</v>
      </c>
      <c r="D506" s="735">
        <v>256924</v>
      </c>
      <c r="E506" s="735">
        <v>69078</v>
      </c>
      <c r="F506" s="735">
        <v>147163</v>
      </c>
      <c r="G506" s="736">
        <v>40683</v>
      </c>
      <c r="H506" s="734">
        <v>48006512</v>
      </c>
      <c r="I506" s="735">
        <v>6609994</v>
      </c>
      <c r="J506" s="735">
        <v>14348975</v>
      </c>
      <c r="K506" s="735">
        <v>27047543</v>
      </c>
      <c r="L506" s="736">
        <v>0</v>
      </c>
    </row>
    <row r="507" spans="2:12" ht="12.75">
      <c r="B507" s="755" t="s">
        <v>283</v>
      </c>
      <c r="C507" s="734">
        <v>45286151</v>
      </c>
      <c r="D507" s="735">
        <v>278053</v>
      </c>
      <c r="E507" s="735">
        <v>69043</v>
      </c>
      <c r="F507" s="735">
        <v>162479</v>
      </c>
      <c r="G507" s="736">
        <v>46531</v>
      </c>
      <c r="H507" s="734">
        <v>45008098</v>
      </c>
      <c r="I507" s="735">
        <v>6477502</v>
      </c>
      <c r="J507" s="735">
        <v>13766890</v>
      </c>
      <c r="K507" s="735">
        <v>24763706</v>
      </c>
      <c r="L507" s="736">
        <v>0</v>
      </c>
    </row>
    <row r="508" spans="2:12" ht="12.75">
      <c r="B508" s="755" t="s">
        <v>284</v>
      </c>
      <c r="C508" s="1001">
        <v>51567073</v>
      </c>
      <c r="D508" s="1003">
        <v>269087</v>
      </c>
      <c r="E508" s="1003">
        <v>66984</v>
      </c>
      <c r="F508" s="1003">
        <v>160926</v>
      </c>
      <c r="G508" s="1003">
        <v>41177</v>
      </c>
      <c r="H508" s="1002">
        <v>51297986</v>
      </c>
      <c r="I508" s="1003">
        <v>7715024</v>
      </c>
      <c r="J508" s="1003">
        <v>16353050</v>
      </c>
      <c r="K508" s="1003">
        <v>27229912</v>
      </c>
      <c r="L508" s="736"/>
    </row>
    <row r="509" spans="2:12" ht="12.75">
      <c r="B509" s="755" t="s">
        <v>285</v>
      </c>
      <c r="C509" s="1001">
        <v>46086574</v>
      </c>
      <c r="D509" s="1003">
        <v>232053</v>
      </c>
      <c r="E509" s="1003">
        <v>58546</v>
      </c>
      <c r="F509" s="1003">
        <v>113020</v>
      </c>
      <c r="G509" s="1003">
        <v>60487</v>
      </c>
      <c r="H509" s="1003">
        <v>45854521</v>
      </c>
      <c r="I509" s="1003">
        <v>6971766</v>
      </c>
      <c r="J509" s="1003">
        <v>14390917</v>
      </c>
      <c r="K509" s="1003">
        <v>24491838</v>
      </c>
      <c r="L509" s="736"/>
    </row>
    <row r="510" spans="2:12" ht="12.75">
      <c r="B510" s="755" t="s">
        <v>286</v>
      </c>
      <c r="C510" s="734">
        <v>39184758</v>
      </c>
      <c r="D510" s="735">
        <v>228472</v>
      </c>
      <c r="E510" s="735">
        <v>69809</v>
      </c>
      <c r="F510" s="735">
        <v>111392</v>
      </c>
      <c r="G510" s="735">
        <v>47271</v>
      </c>
      <c r="H510" s="735">
        <v>38956286</v>
      </c>
      <c r="I510" s="735">
        <v>5576516</v>
      </c>
      <c r="J510" s="735">
        <v>11693522</v>
      </c>
      <c r="K510" s="735">
        <v>21686248</v>
      </c>
      <c r="L510" s="736"/>
    </row>
    <row r="511" spans="2:12" ht="12.75">
      <c r="B511" s="754"/>
      <c r="C511" s="737"/>
      <c r="D511" s="737"/>
      <c r="E511" s="737"/>
      <c r="F511" s="737"/>
      <c r="G511" s="737"/>
      <c r="H511" s="737"/>
      <c r="I511" s="737"/>
      <c r="J511" s="737"/>
      <c r="K511" s="737"/>
      <c r="L511" s="734"/>
    </row>
    <row r="512" spans="2:12" ht="12.75">
      <c r="B512" s="756">
        <v>2018</v>
      </c>
      <c r="C512" s="738">
        <f t="shared" ref="C512:L512" si="24">SUM(C499:C510)</f>
        <v>565172853</v>
      </c>
      <c r="D512" s="738">
        <f t="shared" si="24"/>
        <v>2985436</v>
      </c>
      <c r="E512" s="738">
        <f t="shared" si="24"/>
        <v>858024</v>
      </c>
      <c r="F512" s="738">
        <f t="shared" si="24"/>
        <v>1663565</v>
      </c>
      <c r="G512" s="738">
        <f t="shared" si="24"/>
        <v>463847</v>
      </c>
      <c r="H512" s="738">
        <f t="shared" si="24"/>
        <v>562187417</v>
      </c>
      <c r="I512" s="738">
        <f t="shared" si="24"/>
        <v>81759043</v>
      </c>
      <c r="J512" s="738">
        <f t="shared" si="24"/>
        <v>160990404</v>
      </c>
      <c r="K512" s="738">
        <f t="shared" si="24"/>
        <v>319437970</v>
      </c>
      <c r="L512" s="738">
        <f t="shared" si="24"/>
        <v>0</v>
      </c>
    </row>
    <row r="513" spans="2:12" ht="12.75">
      <c r="B513" s="966"/>
      <c r="C513" s="741"/>
      <c r="D513" s="741"/>
      <c r="E513" s="741"/>
      <c r="F513" s="741"/>
      <c r="G513" s="741"/>
      <c r="H513" s="741"/>
      <c r="I513" s="741"/>
      <c r="J513" s="741"/>
      <c r="K513" s="741"/>
      <c r="L513" s="967"/>
    </row>
    <row r="514" spans="2:12" ht="12.75" customHeight="1">
      <c r="B514" s="1240" t="s">
        <v>263</v>
      </c>
      <c r="C514" s="1242" t="s">
        <v>22</v>
      </c>
      <c r="D514" s="1242" t="s">
        <v>264</v>
      </c>
      <c r="E514" s="1244" t="s">
        <v>265</v>
      </c>
      <c r="F514" s="1245"/>
      <c r="G514" s="1246"/>
      <c r="H514" s="1247" t="s">
        <v>266</v>
      </c>
      <c r="I514" s="1249" t="s">
        <v>267</v>
      </c>
      <c r="J514" s="1250"/>
      <c r="K514" s="1250"/>
      <c r="L514" s="1251"/>
    </row>
    <row r="515" spans="2:12" ht="11.25" customHeight="1">
      <c r="B515" s="1241"/>
      <c r="C515" s="1243"/>
      <c r="D515" s="1243"/>
      <c r="E515" s="1252" t="s">
        <v>304</v>
      </c>
      <c r="F515" s="1254" t="s">
        <v>305</v>
      </c>
      <c r="G515" s="1254" t="s">
        <v>306</v>
      </c>
      <c r="H515" s="1248"/>
      <c r="I515" s="1256" t="s">
        <v>271</v>
      </c>
      <c r="J515" s="1256" t="s">
        <v>24</v>
      </c>
      <c r="K515" s="1242" t="s">
        <v>272</v>
      </c>
      <c r="L515" s="1256" t="s">
        <v>273</v>
      </c>
    </row>
    <row r="516" spans="2:12" ht="11.25" customHeight="1">
      <c r="B516" s="1241"/>
      <c r="C516" s="1243"/>
      <c r="D516" s="1243"/>
      <c r="E516" s="1253"/>
      <c r="F516" s="1255"/>
      <c r="G516" s="1255"/>
      <c r="H516" s="1248"/>
      <c r="I516" s="1257"/>
      <c r="J516" s="1257"/>
      <c r="K516" s="1258"/>
      <c r="L516" s="1257"/>
    </row>
    <row r="517" spans="2:12" ht="12.75">
      <c r="B517" s="731">
        <v>0</v>
      </c>
      <c r="C517" s="742">
        <v>1</v>
      </c>
      <c r="D517" s="742">
        <v>2</v>
      </c>
      <c r="E517" s="743">
        <v>3</v>
      </c>
      <c r="F517" s="743">
        <v>4</v>
      </c>
      <c r="G517" s="742">
        <v>5</v>
      </c>
      <c r="H517" s="742">
        <v>6</v>
      </c>
      <c r="I517" s="742">
        <v>7</v>
      </c>
      <c r="J517" s="742">
        <v>8</v>
      </c>
      <c r="K517" s="742">
        <v>9</v>
      </c>
      <c r="L517" s="742">
        <v>10</v>
      </c>
    </row>
    <row r="518" spans="2:12" ht="12.75">
      <c r="B518" s="753"/>
      <c r="C518" s="739"/>
      <c r="D518" s="739"/>
      <c r="E518" s="739"/>
      <c r="F518" s="739"/>
      <c r="G518" s="739"/>
      <c r="H518" s="739"/>
      <c r="I518" s="739"/>
      <c r="J518" s="739"/>
      <c r="K518" s="739"/>
      <c r="L518" s="751"/>
    </row>
    <row r="519" spans="2:12" ht="12.75">
      <c r="B519" s="754"/>
      <c r="C519" s="1236" t="s">
        <v>300</v>
      </c>
      <c r="D519" s="1236"/>
      <c r="E519" s="1236"/>
      <c r="F519" s="1236"/>
      <c r="G519" s="1236"/>
      <c r="H519" s="1236"/>
      <c r="I519" s="1236"/>
      <c r="J519" s="1236"/>
      <c r="K519" s="1236"/>
      <c r="L519" s="1237"/>
    </row>
    <row r="520" spans="2:12" ht="12.75">
      <c r="B520" s="754"/>
      <c r="C520" s="744"/>
      <c r="D520" s="744"/>
      <c r="E520" s="744"/>
      <c r="F520" s="744"/>
      <c r="G520" s="744"/>
      <c r="H520" s="744"/>
      <c r="I520" s="744"/>
      <c r="J520" s="744"/>
      <c r="K520" s="744"/>
      <c r="L520" s="752"/>
    </row>
    <row r="521" spans="2:12" ht="12.75">
      <c r="B521" s="755" t="s">
        <v>275</v>
      </c>
      <c r="C521" s="734">
        <f>SUM(D521+H521)</f>
        <v>90057014</v>
      </c>
      <c r="D521" s="734">
        <v>438151</v>
      </c>
      <c r="E521" s="734">
        <v>144810</v>
      </c>
      <c r="F521" s="734">
        <v>215494</v>
      </c>
      <c r="G521" s="734">
        <v>77847</v>
      </c>
      <c r="H521" s="734">
        <v>89618863</v>
      </c>
      <c r="I521" s="734">
        <v>12292165</v>
      </c>
      <c r="J521" s="734">
        <v>27496766</v>
      </c>
      <c r="K521" s="734">
        <v>49829932</v>
      </c>
      <c r="L521" s="734">
        <v>0</v>
      </c>
    </row>
    <row r="522" spans="2:12" ht="12.75">
      <c r="B522" s="755" t="s">
        <v>276</v>
      </c>
      <c r="C522" s="734">
        <f t="shared" ref="C522:C526" si="25">SUM(D522+H522)</f>
        <v>87625873</v>
      </c>
      <c r="D522" s="734">
        <v>376411</v>
      </c>
      <c r="E522" s="734">
        <v>117606</v>
      </c>
      <c r="F522" s="734">
        <v>212849</v>
      </c>
      <c r="G522" s="734">
        <v>45956</v>
      </c>
      <c r="H522" s="734">
        <v>87249462</v>
      </c>
      <c r="I522" s="734">
        <v>12525302</v>
      </c>
      <c r="J522" s="734">
        <v>24475372</v>
      </c>
      <c r="K522" s="734">
        <v>50248788</v>
      </c>
      <c r="L522" s="734">
        <v>0</v>
      </c>
    </row>
    <row r="523" spans="2:12" ht="12.75">
      <c r="B523" s="755" t="s">
        <v>277</v>
      </c>
      <c r="C523" s="734">
        <f t="shared" si="25"/>
        <v>102956905</v>
      </c>
      <c r="D523" s="735">
        <v>484939</v>
      </c>
      <c r="E523" s="735">
        <v>160312</v>
      </c>
      <c r="F523" s="735">
        <v>263733</v>
      </c>
      <c r="G523" s="736">
        <v>60894</v>
      </c>
      <c r="H523" s="734">
        <v>102471966</v>
      </c>
      <c r="I523" s="735">
        <v>14376293</v>
      </c>
      <c r="J523" s="735">
        <v>29217947</v>
      </c>
      <c r="K523" s="735">
        <v>58877726</v>
      </c>
      <c r="L523" s="736">
        <v>0</v>
      </c>
    </row>
    <row r="524" spans="2:12" ht="12.75">
      <c r="B524" s="755" t="s">
        <v>278</v>
      </c>
      <c r="C524" s="734">
        <f t="shared" si="25"/>
        <v>89833124</v>
      </c>
      <c r="D524" s="734">
        <v>369992</v>
      </c>
      <c r="E524" s="737">
        <v>117042</v>
      </c>
      <c r="F524" s="737">
        <v>198243</v>
      </c>
      <c r="G524" s="737">
        <v>54707</v>
      </c>
      <c r="H524" s="734">
        <v>89463132</v>
      </c>
      <c r="I524" s="737">
        <v>12659311</v>
      </c>
      <c r="J524" s="737">
        <v>24713683</v>
      </c>
      <c r="K524" s="737">
        <v>52090138</v>
      </c>
      <c r="L524" s="737">
        <v>0</v>
      </c>
    </row>
    <row r="525" spans="2:12" ht="12.75">
      <c r="B525" s="755" t="s">
        <v>279</v>
      </c>
      <c r="C525" s="734">
        <f t="shared" si="25"/>
        <v>96131249</v>
      </c>
      <c r="D525" s="702">
        <v>388194</v>
      </c>
      <c r="E525" s="702">
        <v>117359</v>
      </c>
      <c r="F525" s="702">
        <v>226856</v>
      </c>
      <c r="G525" s="702">
        <v>43979</v>
      </c>
      <c r="H525" s="702">
        <v>95743055</v>
      </c>
      <c r="I525" s="702">
        <v>13695188</v>
      </c>
      <c r="J525" s="702">
        <v>24193988</v>
      </c>
      <c r="K525" s="702">
        <v>57853879</v>
      </c>
      <c r="L525" s="704">
        <v>0</v>
      </c>
    </row>
    <row r="526" spans="2:12" ht="12.75">
      <c r="B526" s="755" t="s">
        <v>280</v>
      </c>
      <c r="C526" s="734">
        <f t="shared" si="25"/>
        <v>106478761</v>
      </c>
      <c r="D526" s="734">
        <v>490758</v>
      </c>
      <c r="E526" s="737">
        <v>133555</v>
      </c>
      <c r="F526" s="737">
        <v>309712</v>
      </c>
      <c r="G526" s="737">
        <v>47491</v>
      </c>
      <c r="H526" s="734">
        <v>105988003</v>
      </c>
      <c r="I526" s="737">
        <v>16711067</v>
      </c>
      <c r="J526" s="737">
        <v>28416605</v>
      </c>
      <c r="K526" s="737">
        <v>60860331</v>
      </c>
      <c r="L526" s="737">
        <v>0</v>
      </c>
    </row>
    <row r="527" spans="2:12" ht="12.75">
      <c r="B527" s="755" t="s">
        <v>281</v>
      </c>
      <c r="C527" s="734">
        <f>SUM(D527+H527)</f>
        <v>97513011</v>
      </c>
      <c r="D527" s="735">
        <v>466110</v>
      </c>
      <c r="E527" s="735">
        <v>126040</v>
      </c>
      <c r="F527" s="735">
        <v>272293</v>
      </c>
      <c r="G527" s="736">
        <v>67777</v>
      </c>
      <c r="H527" s="734">
        <v>97046901</v>
      </c>
      <c r="I527" s="735">
        <v>15281444</v>
      </c>
      <c r="J527" s="735">
        <v>30459496</v>
      </c>
      <c r="K527" s="735">
        <v>51305961</v>
      </c>
      <c r="L527" s="736">
        <v>0</v>
      </c>
    </row>
    <row r="528" spans="2:12" ht="12.75">
      <c r="B528" s="755" t="s">
        <v>282</v>
      </c>
      <c r="C528" s="734">
        <v>99779863</v>
      </c>
      <c r="D528" s="735">
        <v>453846</v>
      </c>
      <c r="E528" s="735">
        <v>121139</v>
      </c>
      <c r="F528" s="735">
        <v>255727</v>
      </c>
      <c r="G528" s="736">
        <v>76980</v>
      </c>
      <c r="H528" s="734">
        <v>99326017</v>
      </c>
      <c r="I528" s="735">
        <v>13903750</v>
      </c>
      <c r="J528" s="735">
        <v>30830195</v>
      </c>
      <c r="K528" s="735">
        <v>54592072</v>
      </c>
      <c r="L528" s="736">
        <v>0</v>
      </c>
    </row>
    <row r="529" spans="2:12" ht="12.75">
      <c r="B529" s="755" t="s">
        <v>283</v>
      </c>
      <c r="C529" s="734">
        <v>91969686</v>
      </c>
      <c r="D529" s="734">
        <v>483179</v>
      </c>
      <c r="E529" s="737">
        <v>120441</v>
      </c>
      <c r="F529" s="737">
        <v>282316</v>
      </c>
      <c r="G529" s="737">
        <v>80422</v>
      </c>
      <c r="H529" s="734">
        <v>91486507</v>
      </c>
      <c r="I529" s="737">
        <v>13573553</v>
      </c>
      <c r="J529" s="737">
        <v>29620194</v>
      </c>
      <c r="K529" s="737">
        <v>48292760</v>
      </c>
      <c r="L529" s="737">
        <v>0</v>
      </c>
    </row>
    <row r="530" spans="2:12" ht="12.75">
      <c r="B530" s="755" t="s">
        <v>284</v>
      </c>
      <c r="C530" s="1004">
        <v>103129786</v>
      </c>
      <c r="D530" s="1006">
        <v>466381</v>
      </c>
      <c r="E530" s="1006">
        <v>115783</v>
      </c>
      <c r="F530" s="1006">
        <v>279344</v>
      </c>
      <c r="G530" s="1006">
        <v>71254</v>
      </c>
      <c r="H530" s="1005">
        <v>102663405</v>
      </c>
      <c r="I530" s="1006">
        <v>15418876</v>
      </c>
      <c r="J530" s="1006">
        <v>33786806</v>
      </c>
      <c r="K530" s="1006">
        <v>53457723</v>
      </c>
      <c r="L530" s="736"/>
    </row>
    <row r="531" spans="2:12" ht="12.75">
      <c r="B531" s="755" t="s">
        <v>285</v>
      </c>
      <c r="C531" s="1004">
        <v>92254109</v>
      </c>
      <c r="D531" s="1006">
        <v>409307</v>
      </c>
      <c r="E531" s="1006">
        <v>101133</v>
      </c>
      <c r="F531" s="1006">
        <v>196225</v>
      </c>
      <c r="G531" s="1007">
        <v>111949</v>
      </c>
      <c r="H531" s="1008">
        <v>91844802</v>
      </c>
      <c r="I531" s="1006">
        <v>13938872</v>
      </c>
      <c r="J531" s="1006">
        <v>29955939</v>
      </c>
      <c r="K531" s="1006">
        <v>47949991</v>
      </c>
      <c r="L531" s="736"/>
    </row>
    <row r="532" spans="2:12" ht="12.75">
      <c r="B532" s="755" t="s">
        <v>286</v>
      </c>
      <c r="C532" s="734">
        <v>78132290</v>
      </c>
      <c r="D532" s="735">
        <v>398393</v>
      </c>
      <c r="E532" s="735">
        <v>124025</v>
      </c>
      <c r="F532" s="735">
        <v>193496</v>
      </c>
      <c r="G532" s="736">
        <v>80872</v>
      </c>
      <c r="H532" s="745">
        <v>77733897</v>
      </c>
      <c r="I532" s="735">
        <v>11141565</v>
      </c>
      <c r="J532" s="735">
        <v>24343592</v>
      </c>
      <c r="K532" s="735">
        <v>42248740</v>
      </c>
      <c r="L532" s="736"/>
    </row>
    <row r="533" spans="2:12" ht="12.75">
      <c r="B533" s="755"/>
      <c r="C533" s="746"/>
      <c r="D533" s="747"/>
      <c r="E533" s="748"/>
      <c r="F533" s="748"/>
      <c r="G533" s="748"/>
      <c r="H533" s="747"/>
      <c r="I533" s="748"/>
      <c r="J533" s="748"/>
      <c r="K533" s="748"/>
      <c r="L533" s="748"/>
    </row>
    <row r="534" spans="2:12" ht="12.75">
      <c r="B534" s="756">
        <v>2018</v>
      </c>
      <c r="C534" s="749">
        <f t="shared" ref="C534:K534" si="26">SUM(C521:C532)</f>
        <v>1135861671</v>
      </c>
      <c r="D534" s="749">
        <f t="shared" si="26"/>
        <v>5225661</v>
      </c>
      <c r="E534" s="749">
        <f t="shared" si="26"/>
        <v>1499245</v>
      </c>
      <c r="F534" s="749">
        <f t="shared" si="26"/>
        <v>2906288</v>
      </c>
      <c r="G534" s="749">
        <f t="shared" si="26"/>
        <v>820128</v>
      </c>
      <c r="H534" s="749">
        <f t="shared" si="26"/>
        <v>1130636010</v>
      </c>
      <c r="I534" s="749">
        <f t="shared" si="26"/>
        <v>165517386</v>
      </c>
      <c r="J534" s="749">
        <f t="shared" si="26"/>
        <v>337510583</v>
      </c>
      <c r="K534" s="749">
        <f t="shared" si="26"/>
        <v>627608041</v>
      </c>
      <c r="L534" s="749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374</v>
      </c>
    </row>
    <row r="555" spans="2:12" ht="18">
      <c r="B555" s="882"/>
      <c r="C555" s="882"/>
      <c r="D555" s="882"/>
      <c r="E555" s="882"/>
      <c r="F555" s="883" t="s">
        <v>262</v>
      </c>
      <c r="G555" s="882"/>
      <c r="H555" s="882"/>
      <c r="I555" s="882"/>
      <c r="J555" s="882"/>
      <c r="K555" s="882"/>
      <c r="L555" s="882"/>
    </row>
    <row r="556" spans="2:12" ht="12.75">
      <c r="B556" s="1256" t="s">
        <v>263</v>
      </c>
      <c r="C556" s="1242" t="s">
        <v>22</v>
      </c>
      <c r="D556" s="1242" t="s">
        <v>264</v>
      </c>
      <c r="E556" s="1244" t="s">
        <v>265</v>
      </c>
      <c r="F556" s="1245"/>
      <c r="G556" s="1246"/>
      <c r="H556" s="1247" t="s">
        <v>266</v>
      </c>
      <c r="I556" s="1244" t="s">
        <v>267</v>
      </c>
      <c r="J556" s="1245"/>
      <c r="K556" s="1245"/>
      <c r="L556" s="1246"/>
    </row>
    <row r="557" spans="2:12">
      <c r="B557" s="1259"/>
      <c r="C557" s="1243"/>
      <c r="D557" s="1243"/>
      <c r="E557" s="1252" t="s">
        <v>304</v>
      </c>
      <c r="F557" s="1254" t="s">
        <v>305</v>
      </c>
      <c r="G557" s="1254" t="s">
        <v>306</v>
      </c>
      <c r="H557" s="1248"/>
      <c r="I557" s="1256" t="s">
        <v>271</v>
      </c>
      <c r="J557" s="1256" t="s">
        <v>24</v>
      </c>
      <c r="K557" s="1242" t="s">
        <v>272</v>
      </c>
      <c r="L557" s="1256" t="s">
        <v>273</v>
      </c>
    </row>
    <row r="558" spans="2:12">
      <c r="B558" s="1259"/>
      <c r="C558" s="1243"/>
      <c r="D558" s="1243"/>
      <c r="E558" s="1253"/>
      <c r="F558" s="1255"/>
      <c r="G558" s="1255"/>
      <c r="H558" s="1248"/>
      <c r="I558" s="1259"/>
      <c r="J558" s="1259"/>
      <c r="K558" s="1243"/>
      <c r="L558" s="1257"/>
    </row>
    <row r="559" spans="2:12" ht="12.75">
      <c r="B559" s="731">
        <v>0</v>
      </c>
      <c r="C559" s="730">
        <v>1</v>
      </c>
      <c r="D559" s="730">
        <v>2</v>
      </c>
      <c r="E559" s="731">
        <v>3</v>
      </c>
      <c r="F559" s="731">
        <v>4</v>
      </c>
      <c r="G559" s="730">
        <v>5</v>
      </c>
      <c r="H559" s="730">
        <v>6</v>
      </c>
      <c r="I559" s="730">
        <v>7</v>
      </c>
      <c r="J559" s="730">
        <v>8</v>
      </c>
      <c r="K559" s="732">
        <v>9</v>
      </c>
      <c r="L559" s="730">
        <v>10</v>
      </c>
    </row>
    <row r="560" spans="2:12" ht="12.75">
      <c r="B560" s="753"/>
      <c r="C560" s="733"/>
      <c r="D560" s="733"/>
      <c r="E560" s="733"/>
      <c r="F560" s="733"/>
      <c r="G560" s="733"/>
      <c r="H560" s="733"/>
      <c r="I560" s="733"/>
      <c r="J560" s="733"/>
      <c r="K560" s="733"/>
      <c r="L560" s="758"/>
    </row>
    <row r="561" spans="2:12" ht="14.25">
      <c r="B561" s="754"/>
      <c r="C561" s="1238" t="s">
        <v>274</v>
      </c>
      <c r="D561" s="1238"/>
      <c r="E561" s="1238"/>
      <c r="F561" s="1238"/>
      <c r="G561" s="1238"/>
      <c r="H561" s="1238"/>
      <c r="I561" s="1238"/>
      <c r="J561" s="1238"/>
      <c r="K561" s="1238"/>
      <c r="L561" s="1239"/>
    </row>
    <row r="562" spans="2:12" ht="12.75">
      <c r="B562" s="753"/>
      <c r="C562" s="733"/>
      <c r="D562" s="733"/>
      <c r="E562" s="733"/>
      <c r="F562" s="733"/>
      <c r="G562" s="733"/>
      <c r="H562" s="733"/>
      <c r="I562" s="733"/>
      <c r="J562" s="733"/>
      <c r="K562" s="733"/>
      <c r="L562" s="758"/>
    </row>
    <row r="563" spans="2:12" ht="15">
      <c r="B563" s="884" t="s">
        <v>275</v>
      </c>
      <c r="C563" s="1004">
        <f>SUM(D563+H563)</f>
        <v>160405</v>
      </c>
      <c r="D563" s="1004">
        <v>4252</v>
      </c>
      <c r="E563" s="1004">
        <v>1993</v>
      </c>
      <c r="F563" s="1004">
        <v>1899</v>
      </c>
      <c r="G563" s="1004">
        <v>360</v>
      </c>
      <c r="H563" s="1004">
        <v>156153</v>
      </c>
      <c r="I563" s="1004">
        <v>25576</v>
      </c>
      <c r="J563" s="1004">
        <v>49577</v>
      </c>
      <c r="K563" s="1004">
        <v>81000</v>
      </c>
      <c r="L563" s="522">
        <v>0</v>
      </c>
    </row>
    <row r="564" spans="2:12" ht="15">
      <c r="B564" s="884" t="s">
        <v>276</v>
      </c>
      <c r="C564" s="1004">
        <f t="shared" ref="C564" si="41">SUM(D564+H564)</f>
        <v>118397</v>
      </c>
      <c r="D564" s="1004">
        <v>3761</v>
      </c>
      <c r="E564" s="1004">
        <v>1965</v>
      </c>
      <c r="F564" s="1004">
        <v>1503</v>
      </c>
      <c r="G564" s="1004">
        <v>293</v>
      </c>
      <c r="H564" s="1004">
        <v>114636</v>
      </c>
      <c r="I564" s="1004">
        <v>20407</v>
      </c>
      <c r="J564" s="1004">
        <v>32761</v>
      </c>
      <c r="K564" s="1004">
        <v>61468</v>
      </c>
      <c r="L564" s="522">
        <v>0</v>
      </c>
    </row>
    <row r="565" spans="2:12" ht="15">
      <c r="B565" s="884" t="s">
        <v>277</v>
      </c>
      <c r="C565" s="1004"/>
      <c r="D565" s="1006"/>
      <c r="E565" s="1006"/>
      <c r="F565" s="1006"/>
      <c r="G565" s="1007"/>
      <c r="H565" s="1004"/>
      <c r="I565" s="1006"/>
      <c r="J565" s="1006"/>
      <c r="K565" s="1006"/>
      <c r="L565" s="1007"/>
    </row>
    <row r="566" spans="2:12" ht="15">
      <c r="B566" s="884" t="s">
        <v>278</v>
      </c>
      <c r="C566" s="1004"/>
      <c r="D566" s="1004"/>
      <c r="E566" s="1005"/>
      <c r="F566" s="1005"/>
      <c r="G566" s="1004"/>
      <c r="H566" s="1004"/>
      <c r="I566" s="1004"/>
      <c r="J566" s="1004"/>
      <c r="K566" s="1004"/>
      <c r="L566" s="1004"/>
    </row>
    <row r="567" spans="2:12" ht="15">
      <c r="B567" s="884" t="s">
        <v>279</v>
      </c>
      <c r="C567" s="1004"/>
      <c r="D567" s="759"/>
      <c r="E567" s="702"/>
      <c r="F567" s="704"/>
      <c r="G567" s="704"/>
      <c r="H567" s="759"/>
      <c r="I567" s="702"/>
      <c r="J567" s="702"/>
      <c r="K567" s="704"/>
      <c r="L567" s="1004"/>
    </row>
    <row r="568" spans="2:12" ht="15">
      <c r="B568" s="884" t="s">
        <v>280</v>
      </c>
      <c r="C568" s="1004"/>
      <c r="D568" s="1004"/>
      <c r="E568" s="1005"/>
      <c r="F568" s="1005"/>
      <c r="G568" s="1004"/>
      <c r="H568" s="1004"/>
      <c r="I568" s="1004"/>
      <c r="J568" s="1004"/>
      <c r="K568" s="1004"/>
      <c r="L568" s="1004"/>
    </row>
    <row r="569" spans="2:12" ht="15">
      <c r="B569" s="884" t="s">
        <v>281</v>
      </c>
      <c r="C569" s="1004"/>
      <c r="D569" s="760"/>
      <c r="E569" s="1006"/>
      <c r="F569" s="1007"/>
      <c r="G569" s="1007"/>
      <c r="H569" s="1004"/>
      <c r="I569" s="1006"/>
      <c r="J569" s="1006"/>
      <c r="K569" s="1006"/>
      <c r="L569" s="1007"/>
    </row>
    <row r="570" spans="2:12" ht="15">
      <c r="B570" s="884" t="s">
        <v>282</v>
      </c>
      <c r="C570" s="1004"/>
      <c r="D570" s="760"/>
      <c r="E570" s="1006"/>
      <c r="F570" s="1006"/>
      <c r="G570" s="1007"/>
      <c r="H570" s="1004"/>
      <c r="I570" s="1006"/>
      <c r="J570" s="1006"/>
      <c r="K570" s="1006"/>
      <c r="L570" s="1007"/>
    </row>
    <row r="571" spans="2:12" ht="15">
      <c r="B571" s="884" t="s">
        <v>283</v>
      </c>
      <c r="C571" s="1004"/>
      <c r="D571" s="1004"/>
      <c r="E571" s="1005"/>
      <c r="F571" s="1005"/>
      <c r="G571" s="1004"/>
      <c r="H571" s="1004"/>
      <c r="I571" s="1004"/>
      <c r="J571" s="1004"/>
      <c r="K571" s="1004"/>
      <c r="L571" s="1004"/>
    </row>
    <row r="572" spans="2:12" ht="15">
      <c r="B572" s="885" t="s">
        <v>284</v>
      </c>
      <c r="C572" s="1004"/>
      <c r="D572" s="999"/>
      <c r="E572" s="1006"/>
      <c r="F572" s="1006"/>
      <c r="G572" s="1006"/>
      <c r="H572" s="1005"/>
      <c r="I572" s="1006"/>
      <c r="J572" s="1006"/>
      <c r="K572" s="1006"/>
      <c r="L572" s="1007"/>
    </row>
    <row r="573" spans="2:12" ht="15">
      <c r="B573" s="885" t="s">
        <v>285</v>
      </c>
      <c r="C573" s="1004"/>
      <c r="D573" s="1006"/>
      <c r="E573" s="1006"/>
      <c r="F573" s="1006"/>
      <c r="G573" s="1006"/>
      <c r="H573" s="1006"/>
      <c r="I573" s="1006"/>
      <c r="J573" s="1006"/>
      <c r="K573" s="1006"/>
      <c r="L573" s="1007"/>
    </row>
    <row r="574" spans="2:12" ht="15">
      <c r="B574" s="885" t="s">
        <v>286</v>
      </c>
      <c r="C574" s="1004"/>
      <c r="D574" s="1006"/>
      <c r="E574" s="1006"/>
      <c r="F574" s="1006"/>
      <c r="G574" s="1006"/>
      <c r="H574" s="1006"/>
      <c r="I574" s="1006"/>
      <c r="J574" s="1006"/>
      <c r="K574" s="1006"/>
      <c r="L574" s="1007"/>
    </row>
    <row r="575" spans="2:12" ht="15">
      <c r="B575" s="757"/>
      <c r="C575" s="1005"/>
      <c r="D575" s="1005"/>
      <c r="E575" s="1005"/>
      <c r="F575" s="1005"/>
      <c r="G575" s="1005"/>
      <c r="H575" s="1005"/>
      <c r="I575" s="1005"/>
      <c r="J575" s="1005"/>
      <c r="K575" s="1005"/>
      <c r="L575" s="1004"/>
    </row>
    <row r="576" spans="2:12" ht="12.75">
      <c r="B576" s="756">
        <v>2018</v>
      </c>
      <c r="C576" s="738">
        <f t="shared" ref="C576" si="42">SUM(C563:C574)</f>
        <v>278802</v>
      </c>
      <c r="D576" s="738">
        <f>SUM(D563:D574)</f>
        <v>8013</v>
      </c>
      <c r="E576" s="738">
        <f t="shared" ref="E576:F576" si="43">SUM(E563:E574)</f>
        <v>3958</v>
      </c>
      <c r="F576" s="738">
        <f t="shared" si="43"/>
        <v>3402</v>
      </c>
      <c r="G576" s="738">
        <f>SUM(G563:G574)</f>
        <v>653</v>
      </c>
      <c r="H576" s="738">
        <f t="shared" ref="H576:K576" si="44">SUM(H563:H574)</f>
        <v>270789</v>
      </c>
      <c r="I576" s="738">
        <f t="shared" si="44"/>
        <v>45983</v>
      </c>
      <c r="J576" s="738">
        <f t="shared" si="44"/>
        <v>82338</v>
      </c>
      <c r="K576" s="738">
        <f t="shared" si="44"/>
        <v>142468</v>
      </c>
      <c r="L576" s="738"/>
    </row>
    <row r="577" spans="2:12" ht="12.75">
      <c r="B577" s="754"/>
      <c r="C577" s="739"/>
      <c r="D577" s="739"/>
      <c r="E577" s="739"/>
      <c r="F577" s="739"/>
      <c r="G577" s="739"/>
      <c r="H577" s="739"/>
      <c r="I577" s="739"/>
      <c r="J577" s="739"/>
      <c r="K577" s="739"/>
      <c r="L577" s="751"/>
    </row>
    <row r="578" spans="2:12" ht="12.75">
      <c r="B578" s="754"/>
      <c r="C578" s="1236" t="s">
        <v>299</v>
      </c>
      <c r="D578" s="1236"/>
      <c r="E578" s="1236"/>
      <c r="F578" s="1236"/>
      <c r="G578" s="1236"/>
      <c r="H578" s="1236"/>
      <c r="I578" s="1236"/>
      <c r="J578" s="1236"/>
      <c r="K578" s="1236"/>
      <c r="L578" s="1237"/>
    </row>
    <row r="579" spans="2:12" ht="12.75">
      <c r="B579" s="753"/>
      <c r="C579" s="739"/>
      <c r="D579" s="739"/>
      <c r="E579" s="739"/>
      <c r="F579" s="739"/>
      <c r="G579" s="739"/>
      <c r="H579" s="739"/>
      <c r="I579" s="739"/>
      <c r="J579" s="739"/>
      <c r="K579" s="739"/>
      <c r="L579" s="751"/>
    </row>
    <row r="580" spans="2:12" ht="12.75">
      <c r="B580" s="755" t="s">
        <v>275</v>
      </c>
      <c r="C580" s="1004">
        <v>49128195</v>
      </c>
      <c r="D580" s="1004">
        <v>226689</v>
      </c>
      <c r="E580" s="1004">
        <v>68974</v>
      </c>
      <c r="F580" s="1004">
        <v>109268</v>
      </c>
      <c r="G580" s="1004">
        <v>48447</v>
      </c>
      <c r="H580" s="1004">
        <v>48901506</v>
      </c>
      <c r="I580" s="1004">
        <v>7017848</v>
      </c>
      <c r="J580" s="1004">
        <v>13675018</v>
      </c>
      <c r="K580" s="1004">
        <v>28208640</v>
      </c>
      <c r="L580" s="522">
        <v>0</v>
      </c>
    </row>
    <row r="581" spans="2:12" ht="12.75">
      <c r="B581" s="755" t="s">
        <v>276</v>
      </c>
      <c r="C581" s="1004">
        <v>36008767</v>
      </c>
      <c r="D581" s="1004">
        <v>193480</v>
      </c>
      <c r="E581" s="1004">
        <v>70783</v>
      </c>
      <c r="F581" s="1004">
        <v>85595</v>
      </c>
      <c r="G581" s="1004">
        <v>37102</v>
      </c>
      <c r="H581" s="1004">
        <v>35815287</v>
      </c>
      <c r="I581" s="1004">
        <v>5626521</v>
      </c>
      <c r="J581" s="1004">
        <v>9142502</v>
      </c>
      <c r="K581" s="1004">
        <v>21046264</v>
      </c>
      <c r="L581" s="522">
        <v>0</v>
      </c>
    </row>
    <row r="582" spans="2:12" ht="12.75">
      <c r="B582" s="755" t="s">
        <v>277</v>
      </c>
      <c r="C582" s="1004"/>
      <c r="D582" s="1006"/>
      <c r="E582" s="1006"/>
      <c r="F582" s="1006"/>
      <c r="G582" s="1007"/>
      <c r="H582" s="1004"/>
      <c r="I582" s="1006"/>
      <c r="J582" s="1006"/>
      <c r="K582" s="1006"/>
      <c r="L582" s="1007"/>
    </row>
    <row r="583" spans="2:12" ht="12.75">
      <c r="B583" s="755" t="s">
        <v>278</v>
      </c>
      <c r="C583" s="1004"/>
      <c r="D583" s="1004"/>
      <c r="E583" s="1005"/>
      <c r="F583" s="1005"/>
      <c r="G583" s="1004"/>
      <c r="H583" s="1004"/>
      <c r="I583" s="1004"/>
      <c r="J583" s="1004"/>
      <c r="K583" s="1004"/>
      <c r="L583" s="1004"/>
    </row>
    <row r="584" spans="2:12" ht="12.75">
      <c r="B584" s="755" t="s">
        <v>279</v>
      </c>
      <c r="C584" s="1004"/>
      <c r="D584" s="702"/>
      <c r="E584" s="702"/>
      <c r="F584" s="702"/>
      <c r="G584" s="702"/>
      <c r="H584" s="702"/>
      <c r="I584" s="702"/>
      <c r="J584" s="702"/>
      <c r="K584" s="704"/>
      <c r="L584" s="1004"/>
    </row>
    <row r="585" spans="2:12" ht="12.75">
      <c r="B585" s="755" t="s">
        <v>280</v>
      </c>
      <c r="C585" s="1004"/>
      <c r="D585" s="1004"/>
      <c r="E585" s="1005"/>
      <c r="F585" s="1005"/>
      <c r="G585" s="1004"/>
      <c r="H585" s="1004"/>
      <c r="I585" s="1004"/>
      <c r="J585" s="1004"/>
      <c r="K585" s="1004"/>
      <c r="L585" s="1004"/>
    </row>
    <row r="586" spans="2:12" ht="12.75">
      <c r="B586" s="755" t="s">
        <v>281</v>
      </c>
      <c r="C586" s="1004"/>
      <c r="D586" s="1006"/>
      <c r="E586" s="1006"/>
      <c r="F586" s="1006"/>
      <c r="G586" s="1007"/>
      <c r="H586" s="1004"/>
      <c r="I586" s="1006"/>
      <c r="J586" s="1006"/>
      <c r="K586" s="1006"/>
      <c r="L586" s="1007"/>
    </row>
    <row r="587" spans="2:12" ht="12.75">
      <c r="B587" s="755" t="s">
        <v>282</v>
      </c>
      <c r="C587" s="1004"/>
      <c r="D587" s="1006"/>
      <c r="E587" s="1006"/>
      <c r="F587" s="1006"/>
      <c r="G587" s="1007"/>
      <c r="H587" s="1004"/>
      <c r="I587" s="1006"/>
      <c r="J587" s="1006"/>
      <c r="K587" s="1006"/>
      <c r="L587" s="1007"/>
    </row>
    <row r="588" spans="2:12" ht="12.75">
      <c r="B588" s="755" t="s">
        <v>283</v>
      </c>
      <c r="C588" s="1004"/>
      <c r="D588" s="1006"/>
      <c r="E588" s="1006"/>
      <c r="F588" s="1006"/>
      <c r="G588" s="1007"/>
      <c r="H588" s="1004"/>
      <c r="I588" s="1006"/>
      <c r="J588" s="1006"/>
      <c r="K588" s="1006"/>
      <c r="L588" s="1007"/>
    </row>
    <row r="589" spans="2:12" ht="12.75">
      <c r="B589" s="755" t="s">
        <v>284</v>
      </c>
      <c r="C589" s="1004"/>
      <c r="D589" s="1006"/>
      <c r="E589" s="1006"/>
      <c r="F589" s="1006"/>
      <c r="G589" s="1006"/>
      <c r="H589" s="1005"/>
      <c r="I589" s="1006"/>
      <c r="J589" s="1006"/>
      <c r="K589" s="1006"/>
      <c r="L589" s="1007"/>
    </row>
    <row r="590" spans="2:12" ht="12.75">
      <c r="B590" s="755" t="s">
        <v>285</v>
      </c>
      <c r="C590" s="1004"/>
      <c r="D590" s="1006"/>
      <c r="E590" s="1006"/>
      <c r="F590" s="1006"/>
      <c r="G590" s="1006"/>
      <c r="H590" s="1006"/>
      <c r="I590" s="1006"/>
      <c r="J590" s="1006"/>
      <c r="K590" s="1006"/>
      <c r="L590" s="1007"/>
    </row>
    <row r="591" spans="2:12" ht="12.75">
      <c r="B591" s="755" t="s">
        <v>286</v>
      </c>
      <c r="C591" s="1004"/>
      <c r="D591" s="1006"/>
      <c r="E591" s="1006"/>
      <c r="F591" s="1006"/>
      <c r="G591" s="1006"/>
      <c r="H591" s="1006"/>
      <c r="I591" s="1006"/>
      <c r="J591" s="1006"/>
      <c r="K591" s="1006"/>
      <c r="L591" s="1007"/>
    </row>
    <row r="592" spans="2:12" ht="12.75">
      <c r="B592" s="754"/>
      <c r="C592" s="1005"/>
      <c r="D592" s="1005"/>
      <c r="E592" s="1005"/>
      <c r="F592" s="1005"/>
      <c r="G592" s="1005"/>
      <c r="H592" s="1005"/>
      <c r="I592" s="1005"/>
      <c r="J592" s="1005"/>
      <c r="K592" s="1005"/>
      <c r="L592" s="1004"/>
    </row>
    <row r="593" spans="2:12" ht="12.75">
      <c r="B593" s="756">
        <v>2018</v>
      </c>
      <c r="C593" s="738">
        <f t="shared" ref="C593:K593" si="45">SUM(C580:C591)</f>
        <v>85136962</v>
      </c>
      <c r="D593" s="738">
        <f t="shared" si="45"/>
        <v>420169</v>
      </c>
      <c r="E593" s="738">
        <f t="shared" si="45"/>
        <v>139757</v>
      </c>
      <c r="F593" s="738">
        <f t="shared" si="45"/>
        <v>194863</v>
      </c>
      <c r="G593" s="738">
        <f t="shared" si="45"/>
        <v>85549</v>
      </c>
      <c r="H593" s="738">
        <f t="shared" si="45"/>
        <v>84716793</v>
      </c>
      <c r="I593" s="738">
        <f t="shared" si="45"/>
        <v>12644369</v>
      </c>
      <c r="J593" s="738">
        <f t="shared" si="45"/>
        <v>22817520</v>
      </c>
      <c r="K593" s="738">
        <f t="shared" si="45"/>
        <v>49254904</v>
      </c>
      <c r="L593" s="738"/>
    </row>
    <row r="594" spans="2:12" ht="12.75">
      <c r="B594" s="966"/>
      <c r="C594" s="741"/>
      <c r="D594" s="741"/>
      <c r="E594" s="741"/>
      <c r="F594" s="741"/>
      <c r="G594" s="741"/>
      <c r="H594" s="741"/>
      <c r="I594" s="741"/>
      <c r="J594" s="741"/>
      <c r="K594" s="741"/>
      <c r="L594" s="967"/>
    </row>
    <row r="595" spans="2:12" ht="12.75">
      <c r="B595" s="1240" t="s">
        <v>263</v>
      </c>
      <c r="C595" s="1242" t="s">
        <v>22</v>
      </c>
      <c r="D595" s="1242" t="s">
        <v>264</v>
      </c>
      <c r="E595" s="1244" t="s">
        <v>265</v>
      </c>
      <c r="F595" s="1245"/>
      <c r="G595" s="1246"/>
      <c r="H595" s="1247" t="s">
        <v>266</v>
      </c>
      <c r="I595" s="1249" t="s">
        <v>267</v>
      </c>
      <c r="J595" s="1250"/>
      <c r="K595" s="1250"/>
      <c r="L595" s="1251"/>
    </row>
    <row r="596" spans="2:12">
      <c r="B596" s="1241"/>
      <c r="C596" s="1243"/>
      <c r="D596" s="1243"/>
      <c r="E596" s="1252" t="s">
        <v>304</v>
      </c>
      <c r="F596" s="1254" t="s">
        <v>305</v>
      </c>
      <c r="G596" s="1254" t="s">
        <v>306</v>
      </c>
      <c r="H596" s="1248"/>
      <c r="I596" s="1256" t="s">
        <v>271</v>
      </c>
      <c r="J596" s="1256" t="s">
        <v>24</v>
      </c>
      <c r="K596" s="1242" t="s">
        <v>272</v>
      </c>
      <c r="L596" s="1256" t="s">
        <v>273</v>
      </c>
    </row>
    <row r="597" spans="2:12">
      <c r="B597" s="1241"/>
      <c r="C597" s="1243"/>
      <c r="D597" s="1243"/>
      <c r="E597" s="1253"/>
      <c r="F597" s="1255"/>
      <c r="G597" s="1255"/>
      <c r="H597" s="1248"/>
      <c r="I597" s="1257"/>
      <c r="J597" s="1257"/>
      <c r="K597" s="1258"/>
      <c r="L597" s="1257"/>
    </row>
    <row r="598" spans="2:12" ht="12.75">
      <c r="B598" s="731">
        <v>0</v>
      </c>
      <c r="C598" s="742">
        <v>1</v>
      </c>
      <c r="D598" s="742">
        <v>2</v>
      </c>
      <c r="E598" s="743">
        <v>3</v>
      </c>
      <c r="F598" s="743">
        <v>4</v>
      </c>
      <c r="G598" s="742">
        <v>5</v>
      </c>
      <c r="H598" s="742">
        <v>6</v>
      </c>
      <c r="I598" s="742">
        <v>7</v>
      </c>
      <c r="J598" s="742">
        <v>8</v>
      </c>
      <c r="K598" s="742">
        <v>9</v>
      </c>
      <c r="L598" s="742">
        <v>10</v>
      </c>
    </row>
    <row r="599" spans="2:12" ht="12.75">
      <c r="B599" s="753"/>
      <c r="C599" s="739"/>
      <c r="D599" s="739"/>
      <c r="E599" s="739"/>
      <c r="F599" s="739"/>
      <c r="G599" s="739"/>
      <c r="H599" s="739"/>
      <c r="I599" s="739"/>
      <c r="J599" s="739"/>
      <c r="K599" s="739"/>
      <c r="L599" s="751"/>
    </row>
    <row r="600" spans="2:12" ht="12.75">
      <c r="B600" s="754"/>
      <c r="C600" s="1236" t="s">
        <v>300</v>
      </c>
      <c r="D600" s="1236"/>
      <c r="E600" s="1236"/>
      <c r="F600" s="1236"/>
      <c r="G600" s="1236"/>
      <c r="H600" s="1236"/>
      <c r="I600" s="1236"/>
      <c r="J600" s="1236"/>
      <c r="K600" s="1236"/>
      <c r="L600" s="1237"/>
    </row>
    <row r="601" spans="2:12" ht="12.75">
      <c r="B601" s="754"/>
      <c r="C601" s="744"/>
      <c r="D601" s="744"/>
      <c r="E601" s="744"/>
      <c r="F601" s="744"/>
      <c r="G601" s="744"/>
      <c r="H601" s="744"/>
      <c r="I601" s="744"/>
      <c r="J601" s="744"/>
      <c r="K601" s="744"/>
      <c r="L601" s="752"/>
    </row>
    <row r="602" spans="2:12" ht="12.75">
      <c r="B602" s="755" t="s">
        <v>275</v>
      </c>
      <c r="C602" s="1004">
        <v>97042744</v>
      </c>
      <c r="D602" s="1004">
        <v>397525</v>
      </c>
      <c r="E602" s="1004">
        <v>123027</v>
      </c>
      <c r="F602" s="1004">
        <v>190820</v>
      </c>
      <c r="G602" s="1004">
        <v>83678</v>
      </c>
      <c r="H602" s="1004">
        <v>96645219</v>
      </c>
      <c r="I602" s="1004">
        <v>13890672</v>
      </c>
      <c r="J602" s="1004">
        <v>28529726</v>
      </c>
      <c r="K602" s="1004">
        <v>54224821</v>
      </c>
      <c r="L602" s="522">
        <v>0</v>
      </c>
    </row>
    <row r="603" spans="2:12" ht="12.75">
      <c r="B603" s="755" t="s">
        <v>276</v>
      </c>
      <c r="C603" s="1004">
        <v>71080437</v>
      </c>
      <c r="D603" s="1004">
        <v>338786</v>
      </c>
      <c r="E603" s="1004">
        <v>123131</v>
      </c>
      <c r="F603" s="1004">
        <v>150015</v>
      </c>
      <c r="G603" s="1004">
        <v>65640</v>
      </c>
      <c r="H603" s="1004">
        <v>70741651</v>
      </c>
      <c r="I603" s="1004">
        <v>11152641</v>
      </c>
      <c r="J603" s="1004">
        <v>19000308</v>
      </c>
      <c r="K603" s="1004">
        <v>40588702</v>
      </c>
      <c r="L603" s="522">
        <v>0</v>
      </c>
    </row>
    <row r="604" spans="2:12" ht="12.75">
      <c r="B604" s="755" t="s">
        <v>277</v>
      </c>
      <c r="C604" s="1004"/>
      <c r="D604" s="1006"/>
      <c r="E604" s="1006"/>
      <c r="F604" s="1006"/>
      <c r="G604" s="1007"/>
      <c r="H604" s="1004"/>
      <c r="I604" s="1006"/>
      <c r="J604" s="1006"/>
      <c r="K604" s="1006"/>
      <c r="L604" s="1007"/>
    </row>
    <row r="605" spans="2:12" ht="12.75">
      <c r="B605" s="755" t="s">
        <v>278</v>
      </c>
      <c r="C605" s="1004"/>
      <c r="D605" s="1004"/>
      <c r="E605" s="1005"/>
      <c r="F605" s="1005"/>
      <c r="G605" s="1005"/>
      <c r="H605" s="1004"/>
      <c r="I605" s="1005"/>
      <c r="J605" s="1005"/>
      <c r="K605" s="1005"/>
      <c r="L605" s="1005"/>
    </row>
    <row r="606" spans="2:12" ht="12.75">
      <c r="B606" s="755" t="s">
        <v>279</v>
      </c>
      <c r="C606" s="1004"/>
      <c r="D606" s="702"/>
      <c r="E606" s="702"/>
      <c r="F606" s="702"/>
      <c r="G606" s="702"/>
      <c r="H606" s="702"/>
      <c r="I606" s="702"/>
      <c r="J606" s="702"/>
      <c r="K606" s="702"/>
      <c r="L606" s="704"/>
    </row>
    <row r="607" spans="2:12" ht="12.75">
      <c r="B607" s="755" t="s">
        <v>280</v>
      </c>
      <c r="C607" s="1004"/>
      <c r="D607" s="1004"/>
      <c r="E607" s="1005"/>
      <c r="F607" s="1005"/>
      <c r="G607" s="1005"/>
      <c r="H607" s="1004"/>
      <c r="I607" s="1005"/>
      <c r="J607" s="1005"/>
      <c r="K607" s="1005"/>
      <c r="L607" s="1005"/>
    </row>
    <row r="608" spans="2:12" ht="12.75">
      <c r="B608" s="755" t="s">
        <v>281</v>
      </c>
      <c r="C608" s="1004"/>
      <c r="D608" s="1006"/>
      <c r="E608" s="1006"/>
      <c r="F608" s="1006"/>
      <c r="G608" s="1007"/>
      <c r="H608" s="1004"/>
      <c r="I608" s="1006"/>
      <c r="J608" s="1006"/>
      <c r="K608" s="1006"/>
      <c r="L608" s="1007"/>
    </row>
    <row r="609" spans="2:12" ht="12.75">
      <c r="B609" s="755" t="s">
        <v>282</v>
      </c>
      <c r="C609" s="1004"/>
      <c r="D609" s="1006"/>
      <c r="E609" s="1006"/>
      <c r="F609" s="1006"/>
      <c r="G609" s="1007"/>
      <c r="H609" s="1004"/>
      <c r="I609" s="1006"/>
      <c r="J609" s="1006"/>
      <c r="K609" s="1006"/>
      <c r="L609" s="1007"/>
    </row>
    <row r="610" spans="2:12" ht="12.75">
      <c r="B610" s="755" t="s">
        <v>283</v>
      </c>
      <c r="C610" s="1004"/>
      <c r="D610" s="1004"/>
      <c r="E610" s="1005"/>
      <c r="F610" s="1005"/>
      <c r="G610" s="1005"/>
      <c r="H610" s="1004"/>
      <c r="I610" s="1005"/>
      <c r="J610" s="1005"/>
      <c r="K610" s="1005"/>
      <c r="L610" s="1005"/>
    </row>
    <row r="611" spans="2:12" ht="12.75">
      <c r="B611" s="755" t="s">
        <v>284</v>
      </c>
      <c r="C611" s="1004"/>
      <c r="D611" s="1006"/>
      <c r="E611" s="1006"/>
      <c r="F611" s="1006"/>
      <c r="G611" s="1006"/>
      <c r="H611" s="1005"/>
      <c r="I611" s="1006"/>
      <c r="J611" s="1006"/>
      <c r="K611" s="1006"/>
      <c r="L611" s="1007"/>
    </row>
    <row r="612" spans="2:12" ht="12.75">
      <c r="B612" s="755" t="s">
        <v>285</v>
      </c>
      <c r="C612" s="1004"/>
      <c r="D612" s="1006"/>
      <c r="E612" s="1006"/>
      <c r="F612" s="1006"/>
      <c r="G612" s="1007"/>
      <c r="H612" s="1008"/>
      <c r="I612" s="1006"/>
      <c r="J612" s="1006"/>
      <c r="K612" s="1006"/>
      <c r="L612" s="1007"/>
    </row>
    <row r="613" spans="2:12" ht="12.75">
      <c r="B613" s="755" t="s">
        <v>286</v>
      </c>
      <c r="C613" s="1004"/>
      <c r="D613" s="1006"/>
      <c r="E613" s="1006"/>
      <c r="F613" s="1006"/>
      <c r="G613" s="1007"/>
      <c r="H613" s="1008"/>
      <c r="I613" s="1006"/>
      <c r="J613" s="1006"/>
      <c r="K613" s="1006"/>
      <c r="L613" s="1007"/>
    </row>
    <row r="614" spans="2:12" ht="12.75">
      <c r="B614" s="755"/>
      <c r="C614" s="746"/>
      <c r="D614" s="747"/>
      <c r="E614" s="748"/>
      <c r="F614" s="748"/>
      <c r="G614" s="748"/>
      <c r="H614" s="747"/>
      <c r="I614" s="748"/>
      <c r="J614" s="748"/>
      <c r="K614" s="748"/>
      <c r="L614" s="748"/>
    </row>
    <row r="615" spans="2:12" ht="12.75">
      <c r="B615" s="756">
        <v>2018</v>
      </c>
      <c r="C615" s="749">
        <f t="shared" ref="C615:K615" si="46">SUM(C602:C613)</f>
        <v>168123181</v>
      </c>
      <c r="D615" s="749">
        <f t="shared" si="46"/>
        <v>736311</v>
      </c>
      <c r="E615" s="749">
        <f t="shared" si="46"/>
        <v>246158</v>
      </c>
      <c r="F615" s="749">
        <f t="shared" si="46"/>
        <v>340835</v>
      </c>
      <c r="G615" s="749">
        <f t="shared" si="46"/>
        <v>149318</v>
      </c>
      <c r="H615" s="749">
        <f t="shared" si="46"/>
        <v>167386870</v>
      </c>
      <c r="I615" s="749">
        <f t="shared" si="46"/>
        <v>25043313</v>
      </c>
      <c r="J615" s="749">
        <f t="shared" si="46"/>
        <v>47530034</v>
      </c>
      <c r="K615" s="749">
        <f t="shared" si="46"/>
        <v>94813523</v>
      </c>
      <c r="L615" s="749"/>
    </row>
    <row r="618" spans="2:12" ht="20.25" thickBot="1">
      <c r="B618" s="579"/>
      <c r="C618" s="579"/>
      <c r="D618" s="579"/>
      <c r="E618" s="579"/>
      <c r="F618" s="580" t="s">
        <v>301</v>
      </c>
      <c r="G618" s="579"/>
      <c r="H618" s="579"/>
      <c r="I618" s="579"/>
      <c r="J618" s="579"/>
      <c r="K618" s="579"/>
      <c r="L618" s="579"/>
    </row>
    <row r="619" spans="2:12" ht="15.75">
      <c r="B619" s="559" t="s">
        <v>275</v>
      </c>
      <c r="C619" s="584">
        <f>C602/C563</f>
        <v>604.98577974502041</v>
      </c>
      <c r="D619" s="584">
        <f t="shared" ref="D619:K619" si="47">D602/D563</f>
        <v>93.491298212605827</v>
      </c>
      <c r="E619" s="584">
        <f t="shared" si="47"/>
        <v>61.729553437029601</v>
      </c>
      <c r="F619" s="584">
        <f t="shared" si="47"/>
        <v>100.48446550816219</v>
      </c>
      <c r="G619" s="584">
        <f t="shared" si="47"/>
        <v>232.4388888888889</v>
      </c>
      <c r="H619" s="584">
        <f t="shared" si="47"/>
        <v>618.91362317726851</v>
      </c>
      <c r="I619" s="584">
        <f t="shared" si="47"/>
        <v>543.11354394745069</v>
      </c>
      <c r="J619" s="584">
        <f t="shared" si="47"/>
        <v>575.46293644230184</v>
      </c>
      <c r="K619" s="584">
        <f t="shared" si="47"/>
        <v>669.44223456790121</v>
      </c>
      <c r="L619" s="561"/>
    </row>
    <row r="620" spans="2:12" ht="15.75">
      <c r="B620" s="555" t="s">
        <v>276</v>
      </c>
      <c r="C620" s="585">
        <f t="shared" ref="C620:G620" si="48">C603/C564</f>
        <v>600.35674045795076</v>
      </c>
      <c r="D620" s="585">
        <f t="shared" si="48"/>
        <v>90.078702472746613</v>
      </c>
      <c r="E620" s="585">
        <f t="shared" si="48"/>
        <v>62.662086513994907</v>
      </c>
      <c r="F620" s="585">
        <f t="shared" si="48"/>
        <v>99.810379241516969</v>
      </c>
      <c r="G620" s="585">
        <f t="shared" si="48"/>
        <v>224.0273037542662</v>
      </c>
      <c r="H620" s="585">
        <f>H603/H564</f>
        <v>617.09804075508566</v>
      </c>
      <c r="I620" s="585">
        <f t="shared" ref="I620:K620" si="49">I603/I564</f>
        <v>546.51056010192576</v>
      </c>
      <c r="J620" s="585">
        <f t="shared" si="49"/>
        <v>579.96727816611212</v>
      </c>
      <c r="K620" s="585">
        <f t="shared" si="49"/>
        <v>660.32247673586255</v>
      </c>
      <c r="L620" s="563"/>
    </row>
    <row r="621" spans="2:12" ht="15.75">
      <c r="B621" s="555" t="s">
        <v>277</v>
      </c>
      <c r="C621" s="585" t="e">
        <f t="shared" ref="C621:K621" si="50">C604/C565</f>
        <v>#DIV/0!</v>
      </c>
      <c r="D621" s="585" t="e">
        <f t="shared" si="50"/>
        <v>#DIV/0!</v>
      </c>
      <c r="E621" s="585" t="e">
        <f t="shared" si="50"/>
        <v>#DIV/0!</v>
      </c>
      <c r="F621" s="585" t="e">
        <f t="shared" si="50"/>
        <v>#DIV/0!</v>
      </c>
      <c r="G621" s="585" t="e">
        <f t="shared" si="50"/>
        <v>#DIV/0!</v>
      </c>
      <c r="H621" s="585" t="e">
        <f t="shared" si="50"/>
        <v>#DIV/0!</v>
      </c>
      <c r="I621" s="585" t="e">
        <f t="shared" si="50"/>
        <v>#DIV/0!</v>
      </c>
      <c r="J621" s="585" t="e">
        <f t="shared" si="50"/>
        <v>#DIV/0!</v>
      </c>
      <c r="K621" s="585" t="e">
        <f t="shared" si="50"/>
        <v>#DIV/0!</v>
      </c>
      <c r="L621" s="563"/>
    </row>
    <row r="622" spans="2:12" ht="15.75">
      <c r="B622" s="555" t="s">
        <v>278</v>
      </c>
      <c r="C622" s="585" t="e">
        <f t="shared" ref="C622:K622" si="51">C605/C566</f>
        <v>#DIV/0!</v>
      </c>
      <c r="D622" s="585" t="e">
        <f t="shared" si="51"/>
        <v>#DIV/0!</v>
      </c>
      <c r="E622" s="585" t="e">
        <f t="shared" si="51"/>
        <v>#DIV/0!</v>
      </c>
      <c r="F622" s="585" t="e">
        <f t="shared" si="51"/>
        <v>#DIV/0!</v>
      </c>
      <c r="G622" s="585" t="e">
        <f t="shared" si="51"/>
        <v>#DIV/0!</v>
      </c>
      <c r="H622" s="585" t="e">
        <f t="shared" si="51"/>
        <v>#DIV/0!</v>
      </c>
      <c r="I622" s="585" t="e">
        <f t="shared" si="51"/>
        <v>#DIV/0!</v>
      </c>
      <c r="J622" s="585" t="e">
        <f t="shared" si="51"/>
        <v>#DIV/0!</v>
      </c>
      <c r="K622" s="585" t="e">
        <f t="shared" si="51"/>
        <v>#DIV/0!</v>
      </c>
      <c r="L622" s="563"/>
    </row>
    <row r="623" spans="2:12" ht="15.75">
      <c r="B623" s="555" t="s">
        <v>279</v>
      </c>
      <c r="C623" s="585" t="e">
        <f t="shared" ref="C623:K623" si="52">C606/C567</f>
        <v>#DIV/0!</v>
      </c>
      <c r="D623" s="585" t="e">
        <f t="shared" si="52"/>
        <v>#DIV/0!</v>
      </c>
      <c r="E623" s="585" t="e">
        <f t="shared" si="52"/>
        <v>#DIV/0!</v>
      </c>
      <c r="F623" s="585" t="e">
        <f t="shared" si="52"/>
        <v>#DIV/0!</v>
      </c>
      <c r="G623" s="585" t="e">
        <f t="shared" si="52"/>
        <v>#DIV/0!</v>
      </c>
      <c r="H623" s="585" t="e">
        <f t="shared" si="52"/>
        <v>#DIV/0!</v>
      </c>
      <c r="I623" s="585" t="e">
        <f t="shared" si="52"/>
        <v>#DIV/0!</v>
      </c>
      <c r="J623" s="585" t="e">
        <f t="shared" si="52"/>
        <v>#DIV/0!</v>
      </c>
      <c r="K623" s="585" t="e">
        <f t="shared" si="52"/>
        <v>#DIV/0!</v>
      </c>
      <c r="L623" s="563"/>
    </row>
    <row r="624" spans="2:12" ht="15.75">
      <c r="B624" s="555" t="s">
        <v>280</v>
      </c>
      <c r="C624" s="585" t="e">
        <f t="shared" ref="C624:K624" si="53">C607/C568</f>
        <v>#DIV/0!</v>
      </c>
      <c r="D624" s="585" t="e">
        <f t="shared" si="53"/>
        <v>#DIV/0!</v>
      </c>
      <c r="E624" s="585" t="e">
        <f t="shared" si="53"/>
        <v>#DIV/0!</v>
      </c>
      <c r="F624" s="585" t="e">
        <f t="shared" si="53"/>
        <v>#DIV/0!</v>
      </c>
      <c r="G624" s="585" t="e">
        <f t="shared" si="53"/>
        <v>#DIV/0!</v>
      </c>
      <c r="H624" s="585" t="e">
        <f t="shared" si="53"/>
        <v>#DIV/0!</v>
      </c>
      <c r="I624" s="585" t="e">
        <f t="shared" si="53"/>
        <v>#DIV/0!</v>
      </c>
      <c r="J624" s="585" t="e">
        <f t="shared" si="53"/>
        <v>#DIV/0!</v>
      </c>
      <c r="K624" s="585" t="e">
        <f t="shared" si="53"/>
        <v>#DIV/0!</v>
      </c>
      <c r="L624" s="563"/>
    </row>
    <row r="625" spans="2:12" ht="15.75">
      <c r="B625" s="555" t="s">
        <v>281</v>
      </c>
      <c r="C625" s="585" t="e">
        <f t="shared" ref="C625:K625" si="54">C608/C569</f>
        <v>#DIV/0!</v>
      </c>
      <c r="D625" s="585" t="e">
        <f t="shared" si="54"/>
        <v>#DIV/0!</v>
      </c>
      <c r="E625" s="585" t="e">
        <f t="shared" si="54"/>
        <v>#DIV/0!</v>
      </c>
      <c r="F625" s="585" t="e">
        <f t="shared" si="54"/>
        <v>#DIV/0!</v>
      </c>
      <c r="G625" s="585" t="e">
        <f t="shared" si="54"/>
        <v>#DIV/0!</v>
      </c>
      <c r="H625" s="585" t="e">
        <f t="shared" si="54"/>
        <v>#DIV/0!</v>
      </c>
      <c r="I625" s="585" t="e">
        <f t="shared" si="54"/>
        <v>#DIV/0!</v>
      </c>
      <c r="J625" s="585" t="e">
        <f t="shared" si="54"/>
        <v>#DIV/0!</v>
      </c>
      <c r="K625" s="585" t="e">
        <f t="shared" si="54"/>
        <v>#DIV/0!</v>
      </c>
      <c r="L625" s="563"/>
    </row>
    <row r="626" spans="2:12" ht="15.75">
      <c r="B626" s="555" t="s">
        <v>282</v>
      </c>
      <c r="C626" s="585" t="e">
        <f t="shared" ref="C626:K626" si="55">C609/C570</f>
        <v>#DIV/0!</v>
      </c>
      <c r="D626" s="585" t="e">
        <f t="shared" si="55"/>
        <v>#DIV/0!</v>
      </c>
      <c r="E626" s="585" t="e">
        <f t="shared" si="55"/>
        <v>#DIV/0!</v>
      </c>
      <c r="F626" s="585" t="e">
        <f t="shared" si="55"/>
        <v>#DIV/0!</v>
      </c>
      <c r="G626" s="585" t="e">
        <f t="shared" si="55"/>
        <v>#DIV/0!</v>
      </c>
      <c r="H626" s="585" t="e">
        <f t="shared" si="55"/>
        <v>#DIV/0!</v>
      </c>
      <c r="I626" s="585" t="e">
        <f t="shared" si="55"/>
        <v>#DIV/0!</v>
      </c>
      <c r="J626" s="585" t="e">
        <f t="shared" si="55"/>
        <v>#DIV/0!</v>
      </c>
      <c r="K626" s="585" t="e">
        <f t="shared" si="55"/>
        <v>#DIV/0!</v>
      </c>
      <c r="L626" s="563"/>
    </row>
    <row r="627" spans="2:12" ht="15.75">
      <c r="B627" s="555" t="s">
        <v>283</v>
      </c>
      <c r="C627" s="585" t="e">
        <f t="shared" ref="C627:K627" si="56">C610/C571</f>
        <v>#DIV/0!</v>
      </c>
      <c r="D627" s="585" t="e">
        <f t="shared" si="56"/>
        <v>#DIV/0!</v>
      </c>
      <c r="E627" s="585" t="e">
        <f t="shared" si="56"/>
        <v>#DIV/0!</v>
      </c>
      <c r="F627" s="585" t="e">
        <f t="shared" si="56"/>
        <v>#DIV/0!</v>
      </c>
      <c r="G627" s="585" t="e">
        <f t="shared" si="56"/>
        <v>#DIV/0!</v>
      </c>
      <c r="H627" s="585" t="e">
        <f t="shared" si="56"/>
        <v>#DIV/0!</v>
      </c>
      <c r="I627" s="585" t="e">
        <f t="shared" si="56"/>
        <v>#DIV/0!</v>
      </c>
      <c r="J627" s="585" t="e">
        <f t="shared" si="56"/>
        <v>#DIV/0!</v>
      </c>
      <c r="K627" s="585" t="e">
        <f t="shared" si="56"/>
        <v>#DIV/0!</v>
      </c>
      <c r="L627" s="563"/>
    </row>
    <row r="628" spans="2:12" ht="15.75">
      <c r="B628" s="555" t="s">
        <v>284</v>
      </c>
      <c r="C628" s="585" t="e">
        <f t="shared" ref="C628:K628" si="57">C611/C572</f>
        <v>#DIV/0!</v>
      </c>
      <c r="D628" s="585" t="e">
        <f t="shared" si="57"/>
        <v>#DIV/0!</v>
      </c>
      <c r="E628" s="585" t="e">
        <f t="shared" si="57"/>
        <v>#DIV/0!</v>
      </c>
      <c r="F628" s="585" t="e">
        <f t="shared" si="57"/>
        <v>#DIV/0!</v>
      </c>
      <c r="G628" s="585" t="e">
        <f t="shared" si="57"/>
        <v>#DIV/0!</v>
      </c>
      <c r="H628" s="585" t="e">
        <f t="shared" si="57"/>
        <v>#DIV/0!</v>
      </c>
      <c r="I628" s="585" t="e">
        <f t="shared" si="57"/>
        <v>#DIV/0!</v>
      </c>
      <c r="J628" s="585" t="e">
        <f t="shared" si="57"/>
        <v>#DIV/0!</v>
      </c>
      <c r="K628" s="585" t="e">
        <f t="shared" si="57"/>
        <v>#DIV/0!</v>
      </c>
      <c r="L628" s="563"/>
    </row>
    <row r="629" spans="2:12" ht="15.75">
      <c r="B629" s="555" t="s">
        <v>285</v>
      </c>
      <c r="C629" s="585" t="e">
        <f t="shared" ref="C629:K630" si="58">C612/C573</f>
        <v>#DIV/0!</v>
      </c>
      <c r="D629" s="585" t="e">
        <f t="shared" si="58"/>
        <v>#DIV/0!</v>
      </c>
      <c r="E629" s="585" t="e">
        <f t="shared" si="58"/>
        <v>#DIV/0!</v>
      </c>
      <c r="F629" s="585" t="e">
        <f t="shared" si="58"/>
        <v>#DIV/0!</v>
      </c>
      <c r="G629" s="585" t="e">
        <f t="shared" si="58"/>
        <v>#DIV/0!</v>
      </c>
      <c r="H629" s="585" t="e">
        <f t="shared" si="58"/>
        <v>#DIV/0!</v>
      </c>
      <c r="I629" s="585" t="e">
        <f t="shared" si="58"/>
        <v>#DIV/0!</v>
      </c>
      <c r="J629" s="585" t="e">
        <f t="shared" si="58"/>
        <v>#DIV/0!</v>
      </c>
      <c r="K629" s="585" t="e">
        <f t="shared" si="58"/>
        <v>#DIV/0!</v>
      </c>
      <c r="L629" s="563"/>
    </row>
    <row r="630" spans="2:12" ht="16.5" thickBot="1">
      <c r="B630" s="564" t="s">
        <v>286</v>
      </c>
      <c r="C630" s="586" t="e">
        <f t="shared" si="58"/>
        <v>#DIV/0!</v>
      </c>
      <c r="D630" s="586" t="e">
        <f>D613/D574</f>
        <v>#DIV/0!</v>
      </c>
      <c r="E630" s="586" t="e">
        <f t="shared" ref="E630:K630" si="59">E613/E574</f>
        <v>#DIV/0!</v>
      </c>
      <c r="F630" s="586" t="e">
        <f t="shared" si="59"/>
        <v>#DIV/0!</v>
      </c>
      <c r="G630" s="586" t="e">
        <f t="shared" si="59"/>
        <v>#DIV/0!</v>
      </c>
      <c r="H630" s="586" t="e">
        <f t="shared" si="59"/>
        <v>#DIV/0!</v>
      </c>
      <c r="I630" s="586" t="e">
        <f t="shared" si="59"/>
        <v>#DIV/0!</v>
      </c>
      <c r="J630" s="586" t="e">
        <f t="shared" si="59"/>
        <v>#DIV/0!</v>
      </c>
      <c r="K630" s="586" t="e">
        <f t="shared" si="59"/>
        <v>#DIV/0!</v>
      </c>
      <c r="L630" s="566"/>
    </row>
  </sheetData>
  <mergeCells count="178">
    <mergeCell ref="C600:L600"/>
    <mergeCell ref="C561:L561"/>
    <mergeCell ref="C578:L578"/>
    <mergeCell ref="B595:B597"/>
    <mergeCell ref="C595:C597"/>
    <mergeCell ref="D595:D597"/>
    <mergeCell ref="E595:G595"/>
    <mergeCell ref="H595:H597"/>
    <mergeCell ref="I595:L595"/>
    <mergeCell ref="E596:E597"/>
    <mergeCell ref="F596:F597"/>
    <mergeCell ref="G596:G597"/>
    <mergeCell ref="I596:I597"/>
    <mergeCell ref="J596:J597"/>
    <mergeCell ref="K596:K597"/>
    <mergeCell ref="L596:L597"/>
    <mergeCell ref="B556:B558"/>
    <mergeCell ref="C556:C558"/>
    <mergeCell ref="D556:D558"/>
    <mergeCell ref="E556:G556"/>
    <mergeCell ref="H556:H558"/>
    <mergeCell ref="I556:L556"/>
    <mergeCell ref="E557:E558"/>
    <mergeCell ref="F557:F558"/>
    <mergeCell ref="G557:G558"/>
    <mergeCell ref="I557:I558"/>
    <mergeCell ref="J557:J558"/>
    <mergeCell ref="K557:K558"/>
    <mergeCell ref="L557:L558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Z34" sqref="Z34:Z35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2" t="s">
        <v>358</v>
      </c>
      <c r="B1" s="1312"/>
      <c r="C1" s="1312"/>
      <c r="D1" s="1312"/>
      <c r="E1" s="1312"/>
      <c r="F1" s="1312"/>
      <c r="G1" s="1312"/>
      <c r="H1" s="1312"/>
      <c r="I1" s="1312"/>
      <c r="J1" s="1312"/>
      <c r="K1" s="1312"/>
      <c r="L1" s="1312"/>
      <c r="M1" s="1312"/>
      <c r="N1" s="1312"/>
    </row>
    <row r="2" spans="1:14" ht="13.5" thickBot="1">
      <c r="B2" s="1023"/>
      <c r="C2" s="1023"/>
      <c r="D2" s="1023"/>
      <c r="E2" s="1023"/>
      <c r="F2" s="1023"/>
      <c r="G2" s="1024" t="s">
        <v>359</v>
      </c>
      <c r="H2" s="1023"/>
      <c r="I2" s="1023"/>
      <c r="J2" s="1023"/>
      <c r="K2" s="1023"/>
      <c r="L2" s="1023"/>
      <c r="M2" s="1023"/>
      <c r="N2" s="1023"/>
    </row>
    <row r="3" spans="1:14" ht="14.25" thickBot="1">
      <c r="A3" s="1025" t="s">
        <v>360</v>
      </c>
      <c r="B3" s="1026" t="s">
        <v>223</v>
      </c>
      <c r="C3" s="1026" t="s">
        <v>224</v>
      </c>
      <c r="D3" s="1026" t="s">
        <v>225</v>
      </c>
      <c r="E3" s="1026" t="s">
        <v>226</v>
      </c>
      <c r="F3" s="1026" t="s">
        <v>227</v>
      </c>
      <c r="G3" s="1026" t="s">
        <v>228</v>
      </c>
      <c r="H3" s="1026" t="s">
        <v>229</v>
      </c>
      <c r="I3" s="1026" t="s">
        <v>230</v>
      </c>
      <c r="J3" s="1026" t="s">
        <v>231</v>
      </c>
      <c r="K3" s="1026" t="s">
        <v>232</v>
      </c>
      <c r="L3" s="1026" t="s">
        <v>233</v>
      </c>
      <c r="M3" s="1026" t="s">
        <v>234</v>
      </c>
      <c r="N3" s="1026" t="s">
        <v>241</v>
      </c>
    </row>
    <row r="4" spans="1:14" ht="13.5">
      <c r="A4" s="1027">
        <v>2004</v>
      </c>
      <c r="B4" s="1028">
        <v>299.39999999999998</v>
      </c>
      <c r="C4" s="1028">
        <v>296.39999999999998</v>
      </c>
      <c r="D4" s="1028">
        <v>293.7</v>
      </c>
      <c r="E4" s="1028">
        <v>293.5</v>
      </c>
      <c r="F4" s="1028">
        <v>293.5</v>
      </c>
      <c r="G4" s="1028">
        <v>291.60000000000002</v>
      </c>
      <c r="H4" s="1028">
        <v>290.2</v>
      </c>
      <c r="I4" s="1028">
        <v>286.3</v>
      </c>
      <c r="J4" s="1028">
        <v>285.39999999999998</v>
      </c>
      <c r="K4" s="1028">
        <v>285.10000000000002</v>
      </c>
      <c r="L4" s="1028">
        <v>291.2</v>
      </c>
      <c r="M4" s="1028">
        <v>297.8</v>
      </c>
      <c r="N4" s="1029">
        <v>291.3</v>
      </c>
    </row>
    <row r="5" spans="1:14" ht="13.5">
      <c r="A5" s="1030">
        <v>2005</v>
      </c>
      <c r="B5" s="1031">
        <v>304.10000000000002</v>
      </c>
      <c r="C5" s="1031">
        <v>308.10000000000002</v>
      </c>
      <c r="D5" s="1031">
        <v>308.2</v>
      </c>
      <c r="E5" s="1031">
        <v>310.89999999999998</v>
      </c>
      <c r="F5" s="1031">
        <v>309.89999999999998</v>
      </c>
      <c r="G5" s="1031">
        <v>309.10000000000002</v>
      </c>
      <c r="H5" s="1031">
        <v>307</v>
      </c>
      <c r="I5" s="1031">
        <v>300.60000000000002</v>
      </c>
      <c r="J5" s="1031">
        <v>303.3</v>
      </c>
      <c r="K5" s="1031">
        <v>304.3</v>
      </c>
      <c r="L5" s="1031">
        <v>311.8</v>
      </c>
      <c r="M5" s="1031">
        <v>315.5</v>
      </c>
      <c r="N5" s="1032">
        <v>307.60000000000002</v>
      </c>
    </row>
    <row r="6" spans="1:14" ht="13.5">
      <c r="A6" s="1030">
        <v>2006</v>
      </c>
      <c r="B6" s="1031">
        <v>317.10000000000002</v>
      </c>
      <c r="C6" s="1031">
        <v>319.89999999999998</v>
      </c>
      <c r="D6" s="1031">
        <v>324</v>
      </c>
      <c r="E6" s="1031">
        <v>319.5</v>
      </c>
      <c r="F6" s="1031">
        <v>325.8</v>
      </c>
      <c r="G6" s="1031">
        <v>323.8</v>
      </c>
      <c r="H6" s="1031">
        <v>312.8</v>
      </c>
      <c r="I6" s="1031">
        <v>313</v>
      </c>
      <c r="J6" s="1031">
        <v>315.2</v>
      </c>
      <c r="K6" s="1031">
        <v>311.2</v>
      </c>
      <c r="L6" s="1031">
        <v>316.2</v>
      </c>
      <c r="M6" s="1031">
        <v>321.8</v>
      </c>
      <c r="N6" s="1032">
        <v>318.7</v>
      </c>
    </row>
    <row r="7" spans="1:14" ht="13.5">
      <c r="A7" s="1030">
        <v>2007</v>
      </c>
      <c r="B7" s="1031">
        <v>325.7</v>
      </c>
      <c r="C7" s="1031">
        <v>327.9</v>
      </c>
      <c r="D7" s="1031">
        <v>329.1</v>
      </c>
      <c r="E7" s="1031">
        <v>329.9</v>
      </c>
      <c r="F7" s="1031">
        <v>328.7</v>
      </c>
      <c r="G7" s="1031">
        <v>330</v>
      </c>
      <c r="H7" s="1031">
        <v>327.9</v>
      </c>
      <c r="I7" s="1031">
        <v>324</v>
      </c>
      <c r="J7" s="1031">
        <v>329.3</v>
      </c>
      <c r="K7" s="1031">
        <v>312.8</v>
      </c>
      <c r="L7" s="1031">
        <v>317.5</v>
      </c>
      <c r="M7" s="1031">
        <v>319</v>
      </c>
      <c r="N7" s="1032">
        <v>325.39999999999998</v>
      </c>
    </row>
    <row r="8" spans="1:14" ht="13.5">
      <c r="A8" s="1030">
        <v>2008</v>
      </c>
      <c r="B8" s="1031">
        <v>326.5</v>
      </c>
      <c r="C8" s="1031">
        <v>327</v>
      </c>
      <c r="D8" s="1031">
        <v>324.5</v>
      </c>
      <c r="E8" s="1031">
        <v>322.60000000000002</v>
      </c>
      <c r="F8" s="1031">
        <v>325.7</v>
      </c>
      <c r="G8" s="1031">
        <v>323.8</v>
      </c>
      <c r="H8" s="1031">
        <v>317</v>
      </c>
      <c r="I8" s="1031">
        <v>314.39999999999998</v>
      </c>
      <c r="J8" s="1031">
        <v>314.60000000000002</v>
      </c>
      <c r="K8" s="1031">
        <v>310.5</v>
      </c>
      <c r="L8" s="1031">
        <v>315.10000000000002</v>
      </c>
      <c r="M8" s="1031">
        <v>321.7</v>
      </c>
      <c r="N8" s="1032">
        <v>320.39999999999998</v>
      </c>
    </row>
    <row r="9" spans="1:14" ht="13.5">
      <c r="A9" s="1030">
        <v>2009</v>
      </c>
      <c r="B9" s="1031">
        <v>322.2</v>
      </c>
      <c r="C9" s="1031">
        <v>324.3</v>
      </c>
      <c r="D9" s="1031">
        <v>325.89999999999998</v>
      </c>
      <c r="E9" s="1031">
        <v>324.2</v>
      </c>
      <c r="F9" s="1031">
        <v>325.3</v>
      </c>
      <c r="G9" s="1031">
        <v>324.5</v>
      </c>
      <c r="H9" s="1031">
        <v>323.3</v>
      </c>
      <c r="I9" s="1031">
        <v>316.2</v>
      </c>
      <c r="J9" s="1031">
        <v>320.10000000000002</v>
      </c>
      <c r="K9" s="1031">
        <v>320</v>
      </c>
      <c r="L9" s="1031">
        <v>324.5</v>
      </c>
      <c r="M9" s="1031">
        <v>330</v>
      </c>
      <c r="N9" s="1033">
        <v>323.60000000000002</v>
      </c>
    </row>
    <row r="10" spans="1:14" ht="13.5">
      <c r="A10" s="1030">
        <v>2010</v>
      </c>
      <c r="B10" s="1031">
        <v>333.4</v>
      </c>
      <c r="C10" s="1031">
        <v>341.3</v>
      </c>
      <c r="D10" s="1031">
        <v>335.1</v>
      </c>
      <c r="E10" s="1031">
        <v>343.1</v>
      </c>
      <c r="F10" s="1031">
        <v>346.2</v>
      </c>
      <c r="G10" s="1031">
        <v>345.9</v>
      </c>
      <c r="H10" s="1031">
        <v>340.4</v>
      </c>
      <c r="I10" s="1031">
        <v>336.9</v>
      </c>
      <c r="J10" s="1031">
        <v>334.2</v>
      </c>
      <c r="K10" s="1031">
        <v>325.7</v>
      </c>
      <c r="L10" s="1031">
        <v>326.39999999999998</v>
      </c>
      <c r="M10" s="1031">
        <v>326.3</v>
      </c>
      <c r="N10" s="1033">
        <v>335.8</v>
      </c>
    </row>
    <row r="11" spans="1:14" ht="13.5">
      <c r="A11" s="1030">
        <v>2011</v>
      </c>
      <c r="B11" s="1031">
        <v>325.60000000000002</v>
      </c>
      <c r="C11" s="1031">
        <v>323.5</v>
      </c>
      <c r="D11" s="1031">
        <v>322.8</v>
      </c>
      <c r="E11" s="1031">
        <v>323</v>
      </c>
      <c r="F11" s="1031">
        <v>326.89999999999998</v>
      </c>
      <c r="G11" s="1031">
        <v>323.39999999999998</v>
      </c>
      <c r="H11" s="1031">
        <v>321.10000000000002</v>
      </c>
      <c r="I11" s="1031">
        <v>317.7</v>
      </c>
      <c r="J11" s="1031">
        <v>313</v>
      </c>
      <c r="K11" s="1031">
        <v>312.89999999999998</v>
      </c>
      <c r="L11" s="1031">
        <v>315.60000000000002</v>
      </c>
      <c r="M11" s="1031">
        <v>322.10000000000002</v>
      </c>
      <c r="N11" s="1033">
        <v>320.7</v>
      </c>
    </row>
    <row r="12" spans="1:14" ht="13.5">
      <c r="A12" s="1034">
        <v>2012</v>
      </c>
      <c r="B12" s="1035">
        <v>324.89999999999998</v>
      </c>
      <c r="C12" s="1035">
        <v>327.2</v>
      </c>
      <c r="D12" s="1035">
        <v>329</v>
      </c>
      <c r="E12" s="1035">
        <v>329.8</v>
      </c>
      <c r="F12" s="1035">
        <v>334.6</v>
      </c>
      <c r="G12" s="1035">
        <v>336.3</v>
      </c>
      <c r="H12" s="1035">
        <v>330.7</v>
      </c>
      <c r="I12" s="1035">
        <v>326.3</v>
      </c>
      <c r="J12" s="1035">
        <v>325.7</v>
      </c>
      <c r="K12" s="1035">
        <v>322</v>
      </c>
      <c r="L12" s="1035">
        <v>327.2</v>
      </c>
      <c r="M12" s="1035">
        <v>330.6</v>
      </c>
      <c r="N12" s="1036">
        <v>328.9</v>
      </c>
    </row>
    <row r="13" spans="1:14" ht="13.5">
      <c r="A13" s="1034">
        <v>2013</v>
      </c>
      <c r="B13" s="1035">
        <v>334</v>
      </c>
      <c r="C13" s="1035">
        <v>336.5</v>
      </c>
      <c r="D13" s="1035">
        <v>334.9</v>
      </c>
      <c r="E13" s="1035">
        <v>338</v>
      </c>
      <c r="F13" s="1035">
        <v>338.8</v>
      </c>
      <c r="G13" s="1035">
        <v>343</v>
      </c>
      <c r="H13" s="1035">
        <v>338.6</v>
      </c>
      <c r="I13" s="1035">
        <v>334</v>
      </c>
      <c r="J13" s="1035">
        <v>329.8</v>
      </c>
      <c r="K13" s="1035">
        <v>328.9</v>
      </c>
      <c r="L13" s="1035">
        <v>331</v>
      </c>
      <c r="M13" s="1035">
        <v>333.1</v>
      </c>
      <c r="N13" s="1036">
        <v>335.2</v>
      </c>
    </row>
    <row r="14" spans="1:14" ht="13.5">
      <c r="A14" s="1034">
        <v>2014</v>
      </c>
      <c r="B14" s="1035">
        <v>335.3</v>
      </c>
      <c r="C14" s="1035">
        <v>339.5</v>
      </c>
      <c r="D14" s="1035">
        <v>336</v>
      </c>
      <c r="E14" s="1035">
        <v>338.1</v>
      </c>
      <c r="F14" s="1035">
        <v>336</v>
      </c>
      <c r="G14" s="1035">
        <v>336.1</v>
      </c>
      <c r="H14" s="1035">
        <v>331.4</v>
      </c>
      <c r="I14" s="1035">
        <v>332.4</v>
      </c>
      <c r="J14" s="1035">
        <v>327.3</v>
      </c>
      <c r="K14" s="1035">
        <v>326.3</v>
      </c>
      <c r="L14" s="1035">
        <v>328.5</v>
      </c>
      <c r="M14" s="1035">
        <v>340.6</v>
      </c>
      <c r="N14" s="1036">
        <v>333.6</v>
      </c>
    </row>
    <row r="15" spans="1:14" ht="13.5">
      <c r="A15" s="1037">
        <v>2015</v>
      </c>
      <c r="B15" s="1038">
        <v>336</v>
      </c>
      <c r="C15" s="1038">
        <v>338.9</v>
      </c>
      <c r="D15" s="1038">
        <v>339.7</v>
      </c>
      <c r="E15" s="1038">
        <v>340.8</v>
      </c>
      <c r="F15" s="1038">
        <v>346.1</v>
      </c>
      <c r="G15" s="1038">
        <v>343.9</v>
      </c>
      <c r="H15" s="1038">
        <v>339.4</v>
      </c>
      <c r="I15" s="1038">
        <v>334</v>
      </c>
      <c r="J15" s="1038">
        <v>332.9</v>
      </c>
      <c r="K15" s="1038">
        <v>331.2</v>
      </c>
      <c r="L15" s="1038">
        <v>332.8</v>
      </c>
      <c r="M15" s="1038">
        <v>335.4</v>
      </c>
      <c r="N15" s="1039">
        <v>337.6</v>
      </c>
    </row>
    <row r="16" spans="1:14" ht="13.5">
      <c r="A16" s="1037">
        <v>2016</v>
      </c>
      <c r="B16" s="1038">
        <v>335.2</v>
      </c>
      <c r="C16" s="1038">
        <v>337.7</v>
      </c>
      <c r="D16" s="1038">
        <v>338.5</v>
      </c>
      <c r="E16" s="1038">
        <v>340.3</v>
      </c>
      <c r="F16" s="1038">
        <v>345.4</v>
      </c>
      <c r="G16" s="1038">
        <v>342.5</v>
      </c>
      <c r="H16" s="1038">
        <v>339.1</v>
      </c>
      <c r="I16" s="1038">
        <v>336.7</v>
      </c>
      <c r="J16" s="1038">
        <v>336</v>
      </c>
      <c r="K16" s="1038">
        <v>338.1</v>
      </c>
      <c r="L16" s="1038">
        <v>339.8</v>
      </c>
      <c r="M16" s="1038">
        <v>343.5</v>
      </c>
      <c r="N16" s="1039">
        <v>339.5</v>
      </c>
    </row>
    <row r="17" spans="1:14" ht="13.5">
      <c r="A17" s="1037">
        <v>2017</v>
      </c>
      <c r="B17" s="1038">
        <v>343.84877560849145</v>
      </c>
      <c r="C17" s="1038">
        <v>344.01260355448568</v>
      </c>
      <c r="D17" s="1038">
        <v>345.08323788722237</v>
      </c>
      <c r="E17" s="1038">
        <v>349.4260933003689</v>
      </c>
      <c r="F17" s="1038">
        <v>351.85998819252393</v>
      </c>
      <c r="G17" s="1038">
        <v>351.12109667545815</v>
      </c>
      <c r="H17" s="1038">
        <v>346.75726994620067</v>
      </c>
      <c r="I17" s="1038">
        <v>344.85589941972938</v>
      </c>
      <c r="J17" s="1038">
        <v>342.09908231074832</v>
      </c>
      <c r="K17" s="1038">
        <v>340.25607000681453</v>
      </c>
      <c r="L17" s="1038">
        <v>343.96423731809307</v>
      </c>
      <c r="M17" s="1038">
        <v>345.17611667491775</v>
      </c>
      <c r="N17" s="1039">
        <v>345.73613890143946</v>
      </c>
    </row>
    <row r="18" spans="1:14" ht="13.5">
      <c r="A18" s="1037">
        <v>2018</v>
      </c>
      <c r="B18" s="1038">
        <v>328.68883172082138</v>
      </c>
      <c r="C18" s="1038">
        <v>335.33083028686195</v>
      </c>
      <c r="D18" s="1038">
        <v>339.13477331184731</v>
      </c>
      <c r="E18" s="1038">
        <v>352.1288362407397</v>
      </c>
      <c r="F18" s="1038">
        <v>354.40806226015781</v>
      </c>
      <c r="G18" s="1038">
        <v>352.31798629918734</v>
      </c>
      <c r="H18" s="1038">
        <v>349.02563708344542</v>
      </c>
      <c r="I18" s="1038">
        <v>347.00933631012759</v>
      </c>
      <c r="J18" s="1038">
        <v>345.11329021489684</v>
      </c>
      <c r="K18" s="1038">
        <v>347.11988043981063</v>
      </c>
      <c r="L18" s="1038">
        <v>349.40972512323503</v>
      </c>
      <c r="M18" s="1038">
        <v>350.98601398601369</v>
      </c>
      <c r="N18" s="1039">
        <v>345.25543478260863</v>
      </c>
    </row>
    <row r="19" spans="1:14" ht="14.25" thickBot="1">
      <c r="A19" s="1040">
        <v>2019</v>
      </c>
      <c r="B19" s="1041">
        <v>354.37491656654714</v>
      </c>
      <c r="C19" s="1041"/>
      <c r="D19" s="1041"/>
      <c r="E19" s="1041"/>
      <c r="F19" s="1041"/>
      <c r="G19" s="1041"/>
      <c r="H19" s="1041"/>
      <c r="I19" s="1041"/>
      <c r="J19" s="1041"/>
      <c r="K19" s="1041"/>
      <c r="L19" s="1041"/>
      <c r="M19" s="1041"/>
      <c r="N19" s="1042"/>
    </row>
    <row r="20" spans="1:14" ht="13.5" thickBot="1">
      <c r="B20" s="1023"/>
      <c r="C20" s="1023"/>
      <c r="D20" s="1023"/>
      <c r="E20" s="1023"/>
      <c r="F20" s="1023"/>
      <c r="G20" s="1043" t="s">
        <v>361</v>
      </c>
      <c r="H20" s="1023"/>
      <c r="I20" s="1023"/>
      <c r="J20" s="1023"/>
      <c r="K20" s="1023"/>
      <c r="L20" s="1023"/>
      <c r="M20" s="1023"/>
      <c r="N20" s="1044"/>
    </row>
    <row r="21" spans="1:14" ht="14.25" thickBot="1">
      <c r="A21" s="1025" t="s">
        <v>360</v>
      </c>
      <c r="B21" s="1026" t="s">
        <v>223</v>
      </c>
      <c r="C21" s="1026" t="s">
        <v>224</v>
      </c>
      <c r="D21" s="1026" t="s">
        <v>225</v>
      </c>
      <c r="E21" s="1026" t="s">
        <v>226</v>
      </c>
      <c r="F21" s="1026" t="s">
        <v>227</v>
      </c>
      <c r="G21" s="1026" t="s">
        <v>228</v>
      </c>
      <c r="H21" s="1026" t="s">
        <v>229</v>
      </c>
      <c r="I21" s="1026" t="s">
        <v>230</v>
      </c>
      <c r="J21" s="1026" t="s">
        <v>231</v>
      </c>
      <c r="K21" s="1026" t="s">
        <v>232</v>
      </c>
      <c r="L21" s="1026" t="s">
        <v>233</v>
      </c>
      <c r="M21" s="1026" t="s">
        <v>234</v>
      </c>
      <c r="N21" s="1026" t="s">
        <v>241</v>
      </c>
    </row>
    <row r="22" spans="1:14" ht="13.5">
      <c r="A22" s="1027">
        <v>2004</v>
      </c>
      <c r="B22" s="1028">
        <v>272.2</v>
      </c>
      <c r="C22" s="1028">
        <v>271.5</v>
      </c>
      <c r="D22" s="1028">
        <v>272</v>
      </c>
      <c r="E22" s="1028">
        <v>273.10000000000002</v>
      </c>
      <c r="F22" s="1028">
        <v>267.2</v>
      </c>
      <c r="G22" s="1028">
        <v>269.60000000000002</v>
      </c>
      <c r="H22" s="1028">
        <v>261.5</v>
      </c>
      <c r="I22" s="1028">
        <v>261.39999999999998</v>
      </c>
      <c r="J22" s="1028">
        <v>264.8</v>
      </c>
      <c r="K22" s="1028">
        <v>267</v>
      </c>
      <c r="L22" s="1028">
        <v>266.39999999999998</v>
      </c>
      <c r="M22" s="1028">
        <v>271.3</v>
      </c>
      <c r="N22" s="1029">
        <v>267.3</v>
      </c>
    </row>
    <row r="23" spans="1:14" ht="13.5">
      <c r="A23" s="1030">
        <v>2005</v>
      </c>
      <c r="B23" s="1031">
        <v>272.10000000000002</v>
      </c>
      <c r="C23" s="1031">
        <v>274.8</v>
      </c>
      <c r="D23" s="1031">
        <v>271.8</v>
      </c>
      <c r="E23" s="1031">
        <v>273.39999999999998</v>
      </c>
      <c r="F23" s="1031">
        <v>271</v>
      </c>
      <c r="G23" s="1031">
        <v>266.39999999999998</v>
      </c>
      <c r="H23" s="1031">
        <v>264.60000000000002</v>
      </c>
      <c r="I23" s="1031">
        <v>261.10000000000002</v>
      </c>
      <c r="J23" s="1031">
        <v>266.60000000000002</v>
      </c>
      <c r="K23" s="1031">
        <v>272.5</v>
      </c>
      <c r="L23" s="1031">
        <v>270.60000000000002</v>
      </c>
      <c r="M23" s="1031">
        <v>272.39999999999998</v>
      </c>
      <c r="N23" s="1032">
        <v>269.2</v>
      </c>
    </row>
    <row r="24" spans="1:14" ht="13.5">
      <c r="A24" s="1030">
        <v>2006</v>
      </c>
      <c r="B24" s="1031">
        <v>275.10000000000002</v>
      </c>
      <c r="C24" s="1031">
        <v>273.39999999999998</v>
      </c>
      <c r="D24" s="1031">
        <v>273.39999999999998</v>
      </c>
      <c r="E24" s="1031">
        <v>272.89999999999998</v>
      </c>
      <c r="F24" s="1031">
        <v>270.39999999999998</v>
      </c>
      <c r="G24" s="1031">
        <v>264.2</v>
      </c>
      <c r="H24" s="1031">
        <v>260.2</v>
      </c>
      <c r="I24" s="1031">
        <v>258.10000000000002</v>
      </c>
      <c r="J24" s="1031">
        <v>263.5</v>
      </c>
      <c r="K24" s="1031">
        <v>263.89999999999998</v>
      </c>
      <c r="L24" s="1031">
        <v>264.89999999999998</v>
      </c>
      <c r="M24" s="1031">
        <v>266.89999999999998</v>
      </c>
      <c r="N24" s="1032">
        <v>267.5</v>
      </c>
    </row>
    <row r="25" spans="1:14" ht="13.5">
      <c r="A25" s="1030">
        <v>2007</v>
      </c>
      <c r="B25" s="1031">
        <v>274.10000000000002</v>
      </c>
      <c r="C25" s="1031">
        <v>274.89999999999998</v>
      </c>
      <c r="D25" s="1031">
        <v>274</v>
      </c>
      <c r="E25" s="1031">
        <v>272.3</v>
      </c>
      <c r="F25" s="1031">
        <v>271.89999999999998</v>
      </c>
      <c r="G25" s="1031">
        <v>269.2</v>
      </c>
      <c r="H25" s="1031">
        <v>267.89999999999998</v>
      </c>
      <c r="I25" s="1031">
        <v>264.60000000000002</v>
      </c>
      <c r="J25" s="1031">
        <v>266</v>
      </c>
      <c r="K25" s="1031">
        <v>268.8</v>
      </c>
      <c r="L25" s="1031">
        <v>269.10000000000002</v>
      </c>
      <c r="M25" s="1031">
        <v>271.60000000000002</v>
      </c>
      <c r="N25" s="1032">
        <v>270.2</v>
      </c>
    </row>
    <row r="26" spans="1:14" ht="13.5">
      <c r="A26" s="1030">
        <v>2008</v>
      </c>
      <c r="B26" s="1031">
        <v>273.89999999999998</v>
      </c>
      <c r="C26" s="1031">
        <v>274.89999999999998</v>
      </c>
      <c r="D26" s="1031">
        <v>273.8</v>
      </c>
      <c r="E26" s="1031">
        <v>270</v>
      </c>
      <c r="F26" s="1031">
        <v>271.89999999999998</v>
      </c>
      <c r="G26" s="1031">
        <v>270.5</v>
      </c>
      <c r="H26" s="1031">
        <v>268.60000000000002</v>
      </c>
      <c r="I26" s="1031">
        <v>265</v>
      </c>
      <c r="J26" s="1031">
        <v>266.5</v>
      </c>
      <c r="K26" s="1031">
        <v>266.60000000000002</v>
      </c>
      <c r="L26" s="1031">
        <v>269.7</v>
      </c>
      <c r="M26" s="1031">
        <v>274.60000000000002</v>
      </c>
      <c r="N26" s="1032">
        <v>270.3</v>
      </c>
    </row>
    <row r="27" spans="1:14" ht="13.5">
      <c r="A27" s="1030">
        <v>2009</v>
      </c>
      <c r="B27" s="1031">
        <v>276.8</v>
      </c>
      <c r="C27" s="1031">
        <v>274.3</v>
      </c>
      <c r="D27" s="1031">
        <v>276.39999999999998</v>
      </c>
      <c r="E27" s="1031">
        <v>273.60000000000002</v>
      </c>
      <c r="F27" s="1031">
        <v>273.8</v>
      </c>
      <c r="G27" s="1031">
        <v>272.10000000000002</v>
      </c>
      <c r="H27" s="1031">
        <v>268.60000000000002</v>
      </c>
      <c r="I27" s="1031">
        <v>266.8</v>
      </c>
      <c r="J27" s="1031">
        <v>269.5</v>
      </c>
      <c r="K27" s="1031">
        <v>271.39999999999998</v>
      </c>
      <c r="L27" s="1031">
        <v>275.60000000000002</v>
      </c>
      <c r="M27" s="1031">
        <v>277.10000000000002</v>
      </c>
      <c r="N27" s="1033">
        <v>272.8</v>
      </c>
    </row>
    <row r="28" spans="1:14" ht="13.5">
      <c r="A28" s="1030">
        <v>2010</v>
      </c>
      <c r="B28" s="1031">
        <v>278.5</v>
      </c>
      <c r="C28" s="1031">
        <v>282.10000000000002</v>
      </c>
      <c r="D28" s="1031">
        <v>281.7</v>
      </c>
      <c r="E28" s="1031">
        <v>280.5</v>
      </c>
      <c r="F28" s="1031">
        <v>280.89999999999998</v>
      </c>
      <c r="G28" s="1031">
        <v>279</v>
      </c>
      <c r="H28" s="1031">
        <v>275</v>
      </c>
      <c r="I28" s="1031">
        <v>272.89999999999998</v>
      </c>
      <c r="J28" s="1031">
        <v>275.5</v>
      </c>
      <c r="K28" s="1031">
        <v>275.10000000000002</v>
      </c>
      <c r="L28" s="1031">
        <v>275</v>
      </c>
      <c r="M28" s="1031">
        <v>277.5</v>
      </c>
      <c r="N28" s="1033">
        <v>277.8</v>
      </c>
    </row>
    <row r="29" spans="1:14" ht="13.5">
      <c r="A29" s="1030">
        <v>2011</v>
      </c>
      <c r="B29" s="1031">
        <v>280.2</v>
      </c>
      <c r="C29" s="1031">
        <v>279.3</v>
      </c>
      <c r="D29" s="1031">
        <v>279.5</v>
      </c>
      <c r="E29" s="1031">
        <v>281.39999999999998</v>
      </c>
      <c r="F29" s="1031">
        <v>279.7</v>
      </c>
      <c r="G29" s="1031">
        <v>275.89999999999998</v>
      </c>
      <c r="H29" s="1031">
        <v>274.2</v>
      </c>
      <c r="I29" s="1031">
        <v>268.2</v>
      </c>
      <c r="J29" s="1031">
        <v>259.3</v>
      </c>
      <c r="K29" s="1031">
        <v>260.89999999999998</v>
      </c>
      <c r="L29" s="1031">
        <v>262.89999999999998</v>
      </c>
      <c r="M29" s="1031">
        <v>267.2</v>
      </c>
      <c r="N29" s="1033">
        <v>271.2</v>
      </c>
    </row>
    <row r="30" spans="1:14" s="1023" customFormat="1" ht="13.5">
      <c r="A30" s="1034">
        <v>2012</v>
      </c>
      <c r="B30" s="1035">
        <v>270.2</v>
      </c>
      <c r="C30" s="1035">
        <v>267.8</v>
      </c>
      <c r="D30" s="1035">
        <v>269.60000000000002</v>
      </c>
      <c r="E30" s="1035">
        <v>266.2</v>
      </c>
      <c r="F30" s="1035">
        <v>265.3</v>
      </c>
      <c r="G30" s="1035">
        <v>265.10000000000002</v>
      </c>
      <c r="H30" s="1035">
        <v>259.10000000000002</v>
      </c>
      <c r="I30" s="1035">
        <v>258.3</v>
      </c>
      <c r="J30" s="1035">
        <v>258.89999999999998</v>
      </c>
      <c r="K30" s="1035">
        <v>261.60000000000002</v>
      </c>
      <c r="L30" s="1035">
        <v>263.2</v>
      </c>
      <c r="M30" s="1035">
        <v>267</v>
      </c>
      <c r="N30" s="1036">
        <v>264</v>
      </c>
    </row>
    <row r="31" spans="1:14" s="1023" customFormat="1" ht="13.5">
      <c r="A31" s="1034">
        <v>2013</v>
      </c>
      <c r="B31" s="1035">
        <v>269.39999999999998</v>
      </c>
      <c r="C31" s="1035">
        <v>271.89999999999998</v>
      </c>
      <c r="D31" s="1035">
        <v>270.60000000000002</v>
      </c>
      <c r="E31" s="1035">
        <v>270.89999999999998</v>
      </c>
      <c r="F31" s="1035">
        <v>266.89999999999998</v>
      </c>
      <c r="G31" s="1035">
        <v>265.89999999999998</v>
      </c>
      <c r="H31" s="1035">
        <v>262.5</v>
      </c>
      <c r="I31" s="1035">
        <v>259.3</v>
      </c>
      <c r="J31" s="1035">
        <v>261.2</v>
      </c>
      <c r="K31" s="1035">
        <v>263.10000000000002</v>
      </c>
      <c r="L31" s="1035">
        <v>265.5</v>
      </c>
      <c r="M31" s="1035">
        <v>270.2</v>
      </c>
      <c r="N31" s="1036">
        <v>266.10000000000002</v>
      </c>
    </row>
    <row r="32" spans="1:14" s="1023" customFormat="1" ht="13.5">
      <c r="A32" s="1034">
        <v>2014</v>
      </c>
      <c r="B32" s="1035">
        <v>273</v>
      </c>
      <c r="C32" s="1035">
        <v>274.60000000000002</v>
      </c>
      <c r="D32" s="1035">
        <v>271.8</v>
      </c>
      <c r="E32" s="1035">
        <v>270.39999999999998</v>
      </c>
      <c r="F32" s="1035">
        <v>268.39999999999998</v>
      </c>
      <c r="G32" s="1035">
        <v>268.60000000000002</v>
      </c>
      <c r="H32" s="1035">
        <v>264.5</v>
      </c>
      <c r="I32" s="1035">
        <v>259.7</v>
      </c>
      <c r="J32" s="1035">
        <v>261.60000000000002</v>
      </c>
      <c r="K32" s="1035">
        <v>263.39999999999998</v>
      </c>
      <c r="L32" s="1035">
        <v>264.39999999999998</v>
      </c>
      <c r="M32" s="1035">
        <v>264.8</v>
      </c>
      <c r="N32" s="1036">
        <v>267</v>
      </c>
    </row>
    <row r="33" spans="1:14" s="1023" customFormat="1" ht="13.5">
      <c r="A33" s="1037">
        <v>2015</v>
      </c>
      <c r="B33" s="1038">
        <v>270.5</v>
      </c>
      <c r="C33" s="1038">
        <v>271.5</v>
      </c>
      <c r="D33" s="1038">
        <v>272.60000000000002</v>
      </c>
      <c r="E33" s="1038">
        <v>270.89999999999998</v>
      </c>
      <c r="F33" s="1038">
        <v>273.3</v>
      </c>
      <c r="G33" s="1038">
        <v>272</v>
      </c>
      <c r="H33" s="1038">
        <v>267.8</v>
      </c>
      <c r="I33" s="1038">
        <v>262.10000000000002</v>
      </c>
      <c r="J33" s="1038">
        <v>261.39999999999998</v>
      </c>
      <c r="K33" s="1038">
        <v>264.5</v>
      </c>
      <c r="L33" s="1038">
        <v>266.60000000000002</v>
      </c>
      <c r="M33" s="1038">
        <v>268.10000000000002</v>
      </c>
      <c r="N33" s="1039">
        <v>267.89999999999998</v>
      </c>
    </row>
    <row r="34" spans="1:14" ht="13.5">
      <c r="A34" s="1037">
        <v>2016</v>
      </c>
      <c r="B34" s="1038">
        <v>270.10000000000002</v>
      </c>
      <c r="C34" s="1038">
        <v>272.10000000000002</v>
      </c>
      <c r="D34" s="1038">
        <v>268.7</v>
      </c>
      <c r="E34" s="1038">
        <v>267.7</v>
      </c>
      <c r="F34" s="1038">
        <v>266.10000000000002</v>
      </c>
      <c r="G34" s="1038">
        <v>263.60000000000002</v>
      </c>
      <c r="H34" s="1038">
        <v>259.10000000000002</v>
      </c>
      <c r="I34" s="1038">
        <v>256.7</v>
      </c>
      <c r="J34" s="1038">
        <v>259.60000000000002</v>
      </c>
      <c r="K34" s="1038">
        <v>263.8</v>
      </c>
      <c r="L34" s="1038">
        <v>267.10000000000002</v>
      </c>
      <c r="M34" s="1038">
        <v>271.10000000000002</v>
      </c>
      <c r="N34" s="1039">
        <v>265.2</v>
      </c>
    </row>
    <row r="35" spans="1:14" ht="13.5">
      <c r="A35" s="1037">
        <v>2017</v>
      </c>
      <c r="B35" s="1038">
        <v>272.88640213541373</v>
      </c>
      <c r="C35" s="1038">
        <v>276.25085307594861</v>
      </c>
      <c r="D35" s="1038">
        <v>274.85711246631678</v>
      </c>
      <c r="E35" s="1038">
        <v>274.82589285714283</v>
      </c>
      <c r="F35" s="1038">
        <v>275.79789937320038</v>
      </c>
      <c r="G35" s="1038">
        <v>275.68322171001125</v>
      </c>
      <c r="H35" s="1038">
        <v>271.12366069701773</v>
      </c>
      <c r="I35" s="1038">
        <v>265.89233861961111</v>
      </c>
      <c r="J35" s="1038">
        <v>268.51868601734992</v>
      </c>
      <c r="K35" s="1038">
        <v>269.27624185210152</v>
      </c>
      <c r="L35" s="1038">
        <v>272.87214014486779</v>
      </c>
      <c r="M35" s="1038">
        <v>275.60365369340764</v>
      </c>
      <c r="N35" s="1039">
        <v>272.59345923219968</v>
      </c>
    </row>
    <row r="36" spans="1:14" ht="13.5">
      <c r="A36" s="1037">
        <v>2018</v>
      </c>
      <c r="B36" s="1038">
        <v>271.81169536218374</v>
      </c>
      <c r="C36" s="1038">
        <v>271.62933094384721</v>
      </c>
      <c r="D36" s="1038">
        <v>275.82298136645966</v>
      </c>
      <c r="E36" s="1038">
        <v>276.47664184157117</v>
      </c>
      <c r="F36" s="1038">
        <v>276.53879641485253</v>
      </c>
      <c r="G36" s="1038">
        <v>273.5957050315024</v>
      </c>
      <c r="H36" s="1038">
        <v>267.18371383829231</v>
      </c>
      <c r="I36" s="1038">
        <v>262.45748745224398</v>
      </c>
      <c r="J36" s="1038">
        <v>265.66096423017115</v>
      </c>
      <c r="K36" s="1038">
        <v>270.12991512212</v>
      </c>
      <c r="L36" s="1038">
        <v>273.99583766909478</v>
      </c>
      <c r="M36" s="1038">
        <v>277.44326025733028</v>
      </c>
      <c r="N36" s="1039">
        <v>271.5347702055667</v>
      </c>
    </row>
    <row r="37" spans="1:14" ht="14.25" thickBot="1">
      <c r="A37" s="1040">
        <v>2019</v>
      </c>
      <c r="B37" s="1041">
        <v>281.27826336739287</v>
      </c>
      <c r="C37" s="1041"/>
      <c r="D37" s="1041"/>
      <c r="E37" s="1041"/>
      <c r="F37" s="1041"/>
      <c r="G37" s="1041"/>
      <c r="H37" s="1041"/>
      <c r="I37" s="1041"/>
      <c r="J37" s="1041"/>
      <c r="K37" s="1041"/>
      <c r="L37" s="1041"/>
      <c r="M37" s="1041"/>
      <c r="N37" s="1042"/>
    </row>
    <row r="38" spans="1:14" ht="13.5" thickBot="1">
      <c r="B38" s="1023"/>
      <c r="C38" s="1023"/>
      <c r="D38" s="1023"/>
      <c r="E38" s="1023"/>
      <c r="F38" s="1023"/>
      <c r="G38" s="1043" t="s">
        <v>362</v>
      </c>
      <c r="H38" s="1023"/>
      <c r="I38" s="1023"/>
      <c r="J38" s="1023"/>
      <c r="K38" s="1023"/>
      <c r="L38" s="1023"/>
      <c r="M38" s="1023"/>
      <c r="N38" s="1044"/>
    </row>
    <row r="39" spans="1:14" ht="14.25" thickBot="1">
      <c r="A39" s="1025" t="s">
        <v>360</v>
      </c>
      <c r="B39" s="1026" t="s">
        <v>223</v>
      </c>
      <c r="C39" s="1026" t="s">
        <v>224</v>
      </c>
      <c r="D39" s="1026" t="s">
        <v>225</v>
      </c>
      <c r="E39" s="1026" t="s">
        <v>226</v>
      </c>
      <c r="F39" s="1026" t="s">
        <v>227</v>
      </c>
      <c r="G39" s="1026" t="s">
        <v>228</v>
      </c>
      <c r="H39" s="1026" t="s">
        <v>229</v>
      </c>
      <c r="I39" s="1026" t="s">
        <v>230</v>
      </c>
      <c r="J39" s="1026" t="s">
        <v>231</v>
      </c>
      <c r="K39" s="1026" t="s">
        <v>232</v>
      </c>
      <c r="L39" s="1026" t="s">
        <v>233</v>
      </c>
      <c r="M39" s="1026" t="s">
        <v>234</v>
      </c>
      <c r="N39" s="1026" t="s">
        <v>241</v>
      </c>
    </row>
    <row r="40" spans="1:14" ht="13.5">
      <c r="A40" s="1027">
        <v>2004</v>
      </c>
      <c r="B40" s="1028">
        <v>240.7</v>
      </c>
      <c r="C40" s="1028">
        <v>241.7</v>
      </c>
      <c r="D40" s="1028">
        <v>243.7</v>
      </c>
      <c r="E40" s="1028">
        <v>237.7</v>
      </c>
      <c r="F40" s="1028">
        <v>240.8</v>
      </c>
      <c r="G40" s="1028">
        <v>241.5</v>
      </c>
      <c r="H40" s="1028">
        <v>243.3</v>
      </c>
      <c r="I40" s="1028">
        <v>237.1</v>
      </c>
      <c r="J40" s="1028">
        <v>241.6</v>
      </c>
      <c r="K40" s="1028">
        <v>238.8</v>
      </c>
      <c r="L40" s="1028">
        <v>245.7</v>
      </c>
      <c r="M40" s="1028">
        <v>249.9</v>
      </c>
      <c r="N40" s="1029">
        <v>242.4</v>
      </c>
    </row>
    <row r="41" spans="1:14" ht="13.5">
      <c r="A41" s="1030">
        <v>2005</v>
      </c>
      <c r="B41" s="1031">
        <v>253.1</v>
      </c>
      <c r="C41" s="1031">
        <v>256.89999999999998</v>
      </c>
      <c r="D41" s="1031">
        <v>255</v>
      </c>
      <c r="E41" s="1031">
        <v>253.3</v>
      </c>
      <c r="F41" s="1031">
        <v>253</v>
      </c>
      <c r="G41" s="1031">
        <v>252.2</v>
      </c>
      <c r="H41" s="1031">
        <v>251.1</v>
      </c>
      <c r="I41" s="1031">
        <v>247.9</v>
      </c>
      <c r="J41" s="1031">
        <v>246.7</v>
      </c>
      <c r="K41" s="1031">
        <v>249.2</v>
      </c>
      <c r="L41" s="1031">
        <v>250.4</v>
      </c>
      <c r="M41" s="1031">
        <v>256.2</v>
      </c>
      <c r="N41" s="1032">
        <v>251.9</v>
      </c>
    </row>
    <row r="42" spans="1:14" ht="13.5">
      <c r="A42" s="1030">
        <v>2006</v>
      </c>
      <c r="B42" s="1031">
        <v>257.8</v>
      </c>
      <c r="C42" s="1031">
        <v>258.60000000000002</v>
      </c>
      <c r="D42" s="1031">
        <v>259.39999999999998</v>
      </c>
      <c r="E42" s="1031">
        <v>256.39999999999998</v>
      </c>
      <c r="F42" s="1031">
        <v>257.60000000000002</v>
      </c>
      <c r="G42" s="1031">
        <v>256.10000000000002</v>
      </c>
      <c r="H42" s="1031">
        <v>250.4</v>
      </c>
      <c r="I42" s="1031">
        <v>248.4</v>
      </c>
      <c r="J42" s="1031">
        <v>249.2</v>
      </c>
      <c r="K42" s="1031">
        <v>246.2</v>
      </c>
      <c r="L42" s="1031">
        <v>246.3</v>
      </c>
      <c r="M42" s="1031">
        <v>251</v>
      </c>
      <c r="N42" s="1032">
        <v>253.1</v>
      </c>
    </row>
    <row r="43" spans="1:14" ht="13.5">
      <c r="A43" s="1030">
        <v>2007</v>
      </c>
      <c r="B43" s="1031">
        <v>257</v>
      </c>
      <c r="C43" s="1031">
        <v>258.60000000000002</v>
      </c>
      <c r="D43" s="1031">
        <v>258.5</v>
      </c>
      <c r="E43" s="1031">
        <v>260.5</v>
      </c>
      <c r="F43" s="1031">
        <v>258.8</v>
      </c>
      <c r="G43" s="1031">
        <v>257.5</v>
      </c>
      <c r="H43" s="1031">
        <v>254.5</v>
      </c>
      <c r="I43" s="1031">
        <v>250.9</v>
      </c>
      <c r="J43" s="1031">
        <v>249.3</v>
      </c>
      <c r="K43" s="1031">
        <v>246.9</v>
      </c>
      <c r="L43" s="1031">
        <v>251.1</v>
      </c>
      <c r="M43" s="1031">
        <v>253</v>
      </c>
      <c r="N43" s="1032">
        <v>254.3</v>
      </c>
    </row>
    <row r="44" spans="1:14" ht="13.5">
      <c r="A44" s="1030">
        <v>2008</v>
      </c>
      <c r="B44" s="1031">
        <v>260</v>
      </c>
      <c r="C44" s="1031">
        <v>259.7</v>
      </c>
      <c r="D44" s="1031">
        <v>256.5</v>
      </c>
      <c r="E44" s="1031">
        <v>253.2</v>
      </c>
      <c r="F44" s="1031">
        <v>257.89999999999998</v>
      </c>
      <c r="G44" s="1031">
        <v>255.5</v>
      </c>
      <c r="H44" s="1031">
        <v>249</v>
      </c>
      <c r="I44" s="1031">
        <v>247.1</v>
      </c>
      <c r="J44" s="1031">
        <v>246.8</v>
      </c>
      <c r="K44" s="1031">
        <v>243.8</v>
      </c>
      <c r="L44" s="1031">
        <v>247.6</v>
      </c>
      <c r="M44" s="1031">
        <v>252.5</v>
      </c>
      <c r="N44" s="1032">
        <v>252.2</v>
      </c>
    </row>
    <row r="45" spans="1:14" ht="13.5">
      <c r="A45" s="1030">
        <v>2009</v>
      </c>
      <c r="B45" s="1031">
        <v>254.8</v>
      </c>
      <c r="C45" s="1031">
        <v>256.39999999999998</v>
      </c>
      <c r="D45" s="1031">
        <v>258.2</v>
      </c>
      <c r="E45" s="1031">
        <v>257.39999999999998</v>
      </c>
      <c r="F45" s="1031">
        <v>257.39999999999998</v>
      </c>
      <c r="G45" s="1031">
        <v>255.2</v>
      </c>
      <c r="H45" s="1031">
        <v>253.6</v>
      </c>
      <c r="I45" s="1031">
        <v>250.6</v>
      </c>
      <c r="J45" s="1031">
        <v>251.8</v>
      </c>
      <c r="K45" s="1031">
        <v>252.9</v>
      </c>
      <c r="L45" s="1031">
        <v>255.6</v>
      </c>
      <c r="M45" s="1031">
        <v>260.8</v>
      </c>
      <c r="N45" s="1032">
        <v>255.4</v>
      </c>
    </row>
    <row r="46" spans="1:14" ht="13.5">
      <c r="A46" s="1030">
        <v>2010</v>
      </c>
      <c r="B46" s="1031">
        <v>261.8</v>
      </c>
      <c r="C46" s="1031">
        <v>267.39999999999998</v>
      </c>
      <c r="D46" s="1031">
        <v>265.7</v>
      </c>
      <c r="E46" s="1031">
        <v>267.89999999999998</v>
      </c>
      <c r="F46" s="1031">
        <v>268.8</v>
      </c>
      <c r="G46" s="1031">
        <v>266.89999999999998</v>
      </c>
      <c r="H46" s="1031">
        <v>264.39999999999998</v>
      </c>
      <c r="I46" s="1031">
        <v>259.89999999999998</v>
      </c>
      <c r="J46" s="1031">
        <v>258.10000000000002</v>
      </c>
      <c r="K46" s="1031">
        <v>254.5</v>
      </c>
      <c r="L46" s="1031">
        <v>258.10000000000002</v>
      </c>
      <c r="M46" s="1031">
        <v>262.5</v>
      </c>
      <c r="N46" s="1032">
        <v>262.8</v>
      </c>
    </row>
    <row r="47" spans="1:14" ht="13.5">
      <c r="A47" s="1030">
        <v>2011</v>
      </c>
      <c r="B47" s="1031">
        <v>262.7</v>
      </c>
      <c r="C47" s="1031">
        <v>262.60000000000002</v>
      </c>
      <c r="D47" s="1031">
        <v>262.2</v>
      </c>
      <c r="E47" s="1031">
        <v>261.5</v>
      </c>
      <c r="F47" s="1031">
        <v>261.2</v>
      </c>
      <c r="G47" s="1031">
        <v>258</v>
      </c>
      <c r="H47" s="1031">
        <v>256.2</v>
      </c>
      <c r="I47" s="1031">
        <v>251.1</v>
      </c>
      <c r="J47" s="1031">
        <v>250.5</v>
      </c>
      <c r="K47" s="1031">
        <v>251.1</v>
      </c>
      <c r="L47" s="1031">
        <v>253.3</v>
      </c>
      <c r="M47" s="1031">
        <v>259.5</v>
      </c>
      <c r="N47" s="1032">
        <v>257.2</v>
      </c>
    </row>
    <row r="48" spans="1:14" ht="13.5">
      <c r="A48" s="1030">
        <v>2012</v>
      </c>
      <c r="B48" s="1031">
        <v>263.39999999999998</v>
      </c>
      <c r="C48" s="1031">
        <v>263.8</v>
      </c>
      <c r="D48" s="1031">
        <v>264</v>
      </c>
      <c r="E48" s="1031">
        <v>262.5</v>
      </c>
      <c r="F48" s="1031">
        <v>265.3</v>
      </c>
      <c r="G48" s="1031">
        <v>262.2</v>
      </c>
      <c r="H48" s="1031">
        <v>260.3</v>
      </c>
      <c r="I48" s="1031">
        <v>256</v>
      </c>
      <c r="J48" s="1031">
        <v>256.2</v>
      </c>
      <c r="K48" s="1031">
        <v>257.60000000000002</v>
      </c>
      <c r="L48" s="1031">
        <v>260.7</v>
      </c>
      <c r="M48" s="1031">
        <v>263.5</v>
      </c>
      <c r="N48" s="1032">
        <v>261.3</v>
      </c>
    </row>
    <row r="49" spans="1:14" ht="13.5">
      <c r="A49" s="1030">
        <v>2013</v>
      </c>
      <c r="B49" s="1031">
        <v>263.7</v>
      </c>
      <c r="C49" s="1031">
        <v>268.2</v>
      </c>
      <c r="D49" s="1031">
        <v>266.3</v>
      </c>
      <c r="E49" s="1031">
        <v>267.2</v>
      </c>
      <c r="F49" s="1031">
        <v>267</v>
      </c>
      <c r="G49" s="1031">
        <v>269.39999999999998</v>
      </c>
      <c r="H49" s="1031">
        <v>265.3</v>
      </c>
      <c r="I49" s="1031">
        <v>261.7</v>
      </c>
      <c r="J49" s="1031">
        <v>261.2</v>
      </c>
      <c r="K49" s="1031">
        <v>259.89999999999998</v>
      </c>
      <c r="L49" s="1031">
        <v>263.3</v>
      </c>
      <c r="M49" s="1031">
        <v>265.8</v>
      </c>
      <c r="N49" s="1032">
        <v>264.8</v>
      </c>
    </row>
    <row r="50" spans="1:14" ht="13.5">
      <c r="A50" s="1034">
        <v>2014</v>
      </c>
      <c r="B50" s="1031">
        <v>267.7</v>
      </c>
      <c r="C50" s="1031">
        <v>270.8</v>
      </c>
      <c r="D50" s="1031">
        <v>267.3</v>
      </c>
      <c r="E50" s="1031">
        <v>267.2</v>
      </c>
      <c r="F50" s="1031">
        <v>267.7</v>
      </c>
      <c r="G50" s="1031">
        <v>267.39999999999998</v>
      </c>
      <c r="H50" s="1031">
        <v>264.89999999999998</v>
      </c>
      <c r="I50" s="1031">
        <v>263.3</v>
      </c>
      <c r="J50" s="1031">
        <v>260.39999999999998</v>
      </c>
      <c r="K50" s="1031">
        <v>262</v>
      </c>
      <c r="L50" s="1031">
        <v>263.3</v>
      </c>
      <c r="M50" s="1031">
        <v>267.89999999999998</v>
      </c>
      <c r="N50" s="1032">
        <v>265.7</v>
      </c>
    </row>
    <row r="51" spans="1:14" ht="13.5">
      <c r="A51" s="1037">
        <v>2015</v>
      </c>
      <c r="B51" s="1045">
        <v>270.89999999999998</v>
      </c>
      <c r="C51" s="1045">
        <v>271.7</v>
      </c>
      <c r="D51" s="1045">
        <v>270.89999999999998</v>
      </c>
      <c r="E51" s="1045">
        <v>272.5</v>
      </c>
      <c r="F51" s="1045">
        <v>274.8</v>
      </c>
      <c r="G51" s="1045">
        <v>275.7</v>
      </c>
      <c r="H51" s="1045">
        <v>272.39999999999998</v>
      </c>
      <c r="I51" s="1045">
        <v>268.60000000000002</v>
      </c>
      <c r="J51" s="1045">
        <v>266.3</v>
      </c>
      <c r="K51" s="1045">
        <v>266.10000000000002</v>
      </c>
      <c r="L51" s="1045">
        <v>268.7</v>
      </c>
      <c r="M51" s="1045">
        <v>270.39999999999998</v>
      </c>
      <c r="N51" s="1046">
        <v>270.5</v>
      </c>
    </row>
    <row r="52" spans="1:14" ht="13.5">
      <c r="A52" s="1037">
        <v>2016</v>
      </c>
      <c r="B52" s="1045">
        <v>271.7</v>
      </c>
      <c r="C52" s="1045">
        <v>271.89999999999998</v>
      </c>
      <c r="D52" s="1045">
        <v>270.2</v>
      </c>
      <c r="E52" s="1045">
        <v>272.2</v>
      </c>
      <c r="F52" s="1045">
        <v>275.5</v>
      </c>
      <c r="G52" s="1045">
        <v>274.2</v>
      </c>
      <c r="H52" s="1045">
        <v>270.5</v>
      </c>
      <c r="I52" s="1045">
        <v>268.7</v>
      </c>
      <c r="J52" s="1045">
        <v>268</v>
      </c>
      <c r="K52" s="1045">
        <v>270</v>
      </c>
      <c r="L52" s="1045">
        <v>273.2</v>
      </c>
      <c r="M52" s="1045">
        <v>276.5</v>
      </c>
      <c r="N52" s="1046">
        <v>271.8</v>
      </c>
    </row>
    <row r="53" spans="1:14" ht="13.5">
      <c r="A53" s="1037">
        <v>2017</v>
      </c>
      <c r="B53" s="1045">
        <v>276.69926282533487</v>
      </c>
      <c r="C53" s="1045">
        <v>276.47892871209154</v>
      </c>
      <c r="D53" s="1045">
        <v>278.22339935513622</v>
      </c>
      <c r="E53" s="1045">
        <v>279.34229084700496</v>
      </c>
      <c r="F53" s="1045">
        <v>281.69560720701139</v>
      </c>
      <c r="G53" s="1045">
        <v>282.87137778735314</v>
      </c>
      <c r="H53" s="1045">
        <v>277.47576558713354</v>
      </c>
      <c r="I53" s="1045">
        <v>274.10388337620998</v>
      </c>
      <c r="J53" s="1045">
        <v>273.58284883720944</v>
      </c>
      <c r="K53" s="1045">
        <v>274.03936753791561</v>
      </c>
      <c r="L53" s="1045">
        <v>275.29776603686923</v>
      </c>
      <c r="M53" s="1045">
        <v>280.80114332380572</v>
      </c>
      <c r="N53" s="1039">
        <v>277.62487398742144</v>
      </c>
    </row>
    <row r="54" spans="1:14" ht="13.5">
      <c r="A54" s="1037">
        <v>2018</v>
      </c>
      <c r="B54" s="1038">
        <v>279.54637865311327</v>
      </c>
      <c r="C54" s="1038">
        <v>282.17688062735988</v>
      </c>
      <c r="D54" s="1038">
        <v>283.66516998075673</v>
      </c>
      <c r="E54" s="1038">
        <v>284.39577732607717</v>
      </c>
      <c r="F54" s="1038">
        <v>286.91837000390598</v>
      </c>
      <c r="G54" s="1038">
        <v>286.16812790097981</v>
      </c>
      <c r="H54" s="1038">
        <v>281.7233466698047</v>
      </c>
      <c r="I54" s="1038">
        <v>279.00896414342645</v>
      </c>
      <c r="J54" s="1038">
        <v>276.36222177119254</v>
      </c>
      <c r="K54" s="1038">
        <v>278.71065267650755</v>
      </c>
      <c r="L54" s="1038">
        <v>284.00026838432649</v>
      </c>
      <c r="M54" s="1038">
        <v>284.93782985955824</v>
      </c>
      <c r="N54" s="1039">
        <v>282.28926615670917</v>
      </c>
    </row>
    <row r="55" spans="1:14" ht="14.25" thickBot="1">
      <c r="A55" s="1040">
        <v>2019</v>
      </c>
      <c r="B55" s="1041">
        <v>287.03444832750858</v>
      </c>
      <c r="C55" s="1041"/>
      <c r="D55" s="1041"/>
      <c r="E55" s="1041"/>
      <c r="F55" s="1041"/>
      <c r="G55" s="1041"/>
      <c r="H55" s="1041"/>
      <c r="I55" s="1041"/>
      <c r="J55" s="1041"/>
      <c r="K55" s="1041"/>
      <c r="L55" s="1041"/>
      <c r="M55" s="1041"/>
      <c r="N55" s="1042"/>
    </row>
    <row r="56" spans="1:14">
      <c r="I56" s="1023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zoomScale="75" workbookViewId="0">
      <selection activeCell="A327" sqref="A327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14" t="s">
        <v>363</v>
      </c>
      <c r="B2" s="1314"/>
      <c r="C2" s="1314"/>
      <c r="D2" s="1314"/>
      <c r="E2" s="1314"/>
      <c r="F2" s="1314"/>
      <c r="G2" s="1314"/>
      <c r="H2" s="1314"/>
      <c r="I2" s="1314"/>
      <c r="J2" s="1314"/>
      <c r="K2" s="1314"/>
      <c r="L2" s="1314"/>
      <c r="M2" s="1314"/>
    </row>
    <row r="3" spans="1:29" ht="12.75" hidden="1" customHeight="1">
      <c r="A3" s="1314"/>
      <c r="B3" s="1314"/>
      <c r="C3" s="1314"/>
      <c r="D3" s="1314"/>
      <c r="E3" s="1314"/>
      <c r="F3" s="1314"/>
      <c r="G3" s="1314"/>
      <c r="H3" s="1314"/>
      <c r="I3" s="1314"/>
      <c r="J3" s="1314"/>
      <c r="K3" s="1314"/>
      <c r="L3" s="1314"/>
      <c r="M3" s="1314"/>
    </row>
    <row r="4" spans="1:29" ht="12.75" hidden="1" customHeight="1">
      <c r="A4" s="1314"/>
      <c r="B4" s="1314"/>
      <c r="C4" s="1314"/>
      <c r="D4" s="1314"/>
      <c r="E4" s="1314"/>
      <c r="F4" s="1314"/>
      <c r="G4" s="1314"/>
      <c r="H4" s="1314"/>
      <c r="I4" s="1314"/>
      <c r="J4" s="1314"/>
      <c r="K4" s="1314"/>
      <c r="L4" s="1314"/>
      <c r="M4" s="1314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3" t="s">
        <v>220</v>
      </c>
      <c r="R7" s="1313"/>
      <c r="S7" s="1313"/>
      <c r="T7" s="160"/>
      <c r="U7" s="157">
        <v>2003</v>
      </c>
      <c r="V7" s="1313" t="s">
        <v>221</v>
      </c>
      <c r="W7" s="1315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3" t="s">
        <v>220</v>
      </c>
      <c r="Q16" s="1313"/>
      <c r="R16" s="1313"/>
      <c r="S16" s="1313"/>
      <c r="T16" s="158"/>
      <c r="U16" s="157">
        <v>2004</v>
      </c>
      <c r="V16" s="1313" t="s">
        <v>221</v>
      </c>
      <c r="W16" s="1313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3" t="s">
        <v>220</v>
      </c>
      <c r="Q25" s="1313"/>
      <c r="R25" s="1313"/>
      <c r="S25" s="1313"/>
      <c r="T25" s="158"/>
      <c r="U25" s="157">
        <v>2005</v>
      </c>
      <c r="V25" s="1313" t="s">
        <v>221</v>
      </c>
      <c r="W25" s="1313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3" t="s">
        <v>220</v>
      </c>
      <c r="Q34" s="1313"/>
      <c r="R34" s="1313"/>
      <c r="S34" s="1313"/>
      <c r="T34" s="158"/>
      <c r="U34" s="157">
        <v>2006</v>
      </c>
      <c r="V34" s="1313" t="s">
        <v>221</v>
      </c>
      <c r="W34" s="1313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3" t="s">
        <v>220</v>
      </c>
      <c r="Q43" s="1313"/>
      <c r="R43" s="1313"/>
      <c r="S43" s="1313"/>
      <c r="T43" s="158"/>
      <c r="U43" s="157">
        <v>2007</v>
      </c>
      <c r="V43" s="1313" t="s">
        <v>221</v>
      </c>
      <c r="W43" s="1313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3" t="s">
        <v>220</v>
      </c>
      <c r="Q52" s="1313"/>
      <c r="R52" s="1313"/>
      <c r="S52" s="1313"/>
      <c r="T52" s="158"/>
      <c r="U52" s="157">
        <v>2008</v>
      </c>
      <c r="V52" s="1313" t="s">
        <v>221</v>
      </c>
      <c r="W52" s="1313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3" t="s">
        <v>220</v>
      </c>
      <c r="Q61" s="1313"/>
      <c r="R61" s="1313"/>
      <c r="S61" s="1313"/>
      <c r="T61" s="158"/>
      <c r="U61" s="157">
        <v>2009</v>
      </c>
      <c r="V61" s="1313" t="s">
        <v>221</v>
      </c>
      <c r="W61" s="1313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3" t="s">
        <v>220</v>
      </c>
      <c r="Q70" s="1313"/>
      <c r="R70" s="1313"/>
      <c r="S70" s="1313"/>
      <c r="T70" s="158"/>
      <c r="U70" s="157">
        <v>2010</v>
      </c>
      <c r="V70" s="1313" t="s">
        <v>221</v>
      </c>
      <c r="W70" s="1313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3" t="s">
        <v>220</v>
      </c>
      <c r="Q79" s="1313"/>
      <c r="R79" s="1313"/>
      <c r="S79" s="1313"/>
      <c r="T79" s="158"/>
      <c r="U79" s="157">
        <v>2011</v>
      </c>
      <c r="V79" s="1313" t="s">
        <v>221</v>
      </c>
      <c r="W79" s="1313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3" t="s">
        <v>220</v>
      </c>
      <c r="Q88" s="1313"/>
      <c r="R88" s="1313"/>
      <c r="S88" s="1313"/>
      <c r="T88" s="158"/>
      <c r="U88" s="157">
        <v>2012</v>
      </c>
      <c r="V88" s="1313" t="s">
        <v>221</v>
      </c>
      <c r="W88" s="1313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3" t="s">
        <v>220</v>
      </c>
      <c r="Q97" s="1313"/>
      <c r="R97" s="1313"/>
      <c r="S97" s="1313"/>
      <c r="T97" s="158"/>
      <c r="U97" s="157">
        <v>2013</v>
      </c>
      <c r="V97" s="1313" t="s">
        <v>221</v>
      </c>
      <c r="W97" s="1313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3" t="s">
        <v>220</v>
      </c>
      <c r="Q106" s="1313"/>
      <c r="R106" s="1313"/>
      <c r="S106" s="1313"/>
      <c r="T106" s="158"/>
      <c r="U106" s="157">
        <v>2014</v>
      </c>
      <c r="V106" s="1313" t="s">
        <v>221</v>
      </c>
      <c r="W106" s="1313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3" t="s">
        <v>220</v>
      </c>
      <c r="Q116" s="1313"/>
      <c r="R116" s="1313"/>
      <c r="S116" s="1313"/>
      <c r="T116" s="158"/>
      <c r="U116" s="157">
        <v>2015</v>
      </c>
      <c r="V116" s="1313" t="s">
        <v>221</v>
      </c>
      <c r="W116" s="1313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3" t="s">
        <v>220</v>
      </c>
      <c r="Q126" s="1313"/>
      <c r="R126" s="1313"/>
      <c r="S126" s="1313"/>
      <c r="T126" s="158"/>
      <c r="U126" s="157">
        <v>2016</v>
      </c>
      <c r="V126" s="1313" t="s">
        <v>221</v>
      </c>
      <c r="W126" s="1313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3" t="s">
        <v>220</v>
      </c>
      <c r="Q136" s="1313"/>
      <c r="R136" s="1313"/>
      <c r="S136" s="1313"/>
      <c r="T136" s="158"/>
      <c r="U136" s="157">
        <v>2017</v>
      </c>
      <c r="V136" s="1313" t="s">
        <v>221</v>
      </c>
      <c r="W136" s="1313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1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1" ht="15">
      <c r="AA145" s="179"/>
      <c r="AB145" s="161"/>
      <c r="AC145" s="1054"/>
      <c r="AD145" s="1054"/>
    </row>
    <row r="146" spans="1:31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3" t="s">
        <v>220</v>
      </c>
      <c r="Q146" s="1313"/>
      <c r="R146" s="1313"/>
      <c r="S146" s="1313"/>
      <c r="T146" s="158"/>
      <c r="U146" s="157">
        <v>2018</v>
      </c>
      <c r="V146" s="1313" t="s">
        <v>221</v>
      </c>
      <c r="W146" s="1313"/>
      <c r="X146" s="158"/>
      <c r="Y146" s="244">
        <v>2018</v>
      </c>
      <c r="Z146" s="158"/>
      <c r="AA146" s="179"/>
      <c r="AB146"/>
      <c r="AC146" s="1054"/>
      <c r="AD146" s="1054"/>
      <c r="AE146"/>
    </row>
    <row r="147" spans="1:31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1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1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</row>
    <row r="150" spans="1:31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</row>
    <row r="151" spans="1:31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</row>
    <row r="152" spans="1:31">
      <c r="A152" s="214" t="s">
        <v>245</v>
      </c>
      <c r="B152" s="215"/>
      <c r="C152" s="691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</row>
    <row r="153" spans="1:31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</row>
    <row r="154" spans="1:31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</row>
    <row r="155" spans="1:31">
      <c r="AA155" s="179"/>
      <c r="AB155"/>
      <c r="AC155"/>
      <c r="AD155"/>
      <c r="AE155"/>
    </row>
    <row r="156" spans="1:31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3" t="s">
        <v>220</v>
      </c>
      <c r="Q156" s="1313"/>
      <c r="R156" s="1313"/>
      <c r="S156" s="1313"/>
      <c r="T156" s="158"/>
      <c r="U156" s="157">
        <v>2019</v>
      </c>
      <c r="V156" s="1313" t="s">
        <v>221</v>
      </c>
      <c r="W156" s="1313"/>
      <c r="X156" s="158"/>
      <c r="Y156" s="244">
        <v>2019</v>
      </c>
      <c r="Z156" s="158"/>
      <c r="AA156" s="179"/>
      <c r="AB156" s="122"/>
      <c r="AC156" s="122"/>
      <c r="AD156" s="122"/>
      <c r="AE156" s="122"/>
    </row>
    <row r="157" spans="1:31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 s="122"/>
      <c r="AC157" s="122"/>
      <c r="AD157" s="122"/>
      <c r="AE157" s="122"/>
    </row>
    <row r="158" spans="1:31" ht="13.5" thickBot="1">
      <c r="A158" s="269" t="s">
        <v>242</v>
      </c>
      <c r="B158" s="204">
        <v>13097.004154604951</v>
      </c>
      <c r="C158" s="270"/>
      <c r="D158" s="204"/>
      <c r="E158" s="204"/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/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 s="122"/>
      <c r="AC158" s="122"/>
      <c r="AD158" s="122"/>
      <c r="AE158" s="122"/>
    </row>
    <row r="159" spans="1:31">
      <c r="A159" s="272" t="s">
        <v>247</v>
      </c>
      <c r="B159" s="227">
        <v>12988.229233268361</v>
      </c>
      <c r="C159" s="273"/>
      <c r="D159" s="274"/>
      <c r="E159" s="227"/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/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 s="122"/>
      <c r="AC159" s="122"/>
      <c r="AD159" s="122"/>
      <c r="AE159" s="122"/>
    </row>
    <row r="160" spans="1:31">
      <c r="A160" s="214" t="s">
        <v>243</v>
      </c>
      <c r="B160" s="215">
        <v>14030.74154673591</v>
      </c>
      <c r="C160" s="267"/>
      <c r="D160" s="215"/>
      <c r="E160" s="215"/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/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 s="122"/>
      <c r="AC160" s="122"/>
      <c r="AD160" s="122"/>
      <c r="AE160" s="122"/>
    </row>
    <row r="161" spans="1:31">
      <c r="A161" s="214" t="s">
        <v>244</v>
      </c>
      <c r="B161" s="215">
        <v>13875.267566076433</v>
      </c>
      <c r="C161" s="267"/>
      <c r="D161" s="215"/>
      <c r="E161" s="215"/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/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 s="122"/>
      <c r="AC161" s="122"/>
      <c r="AD161" s="122"/>
      <c r="AE161" s="122"/>
    </row>
    <row r="162" spans="1:31">
      <c r="A162" s="214" t="s">
        <v>245</v>
      </c>
      <c r="B162" s="215"/>
      <c r="C162" s="691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/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 s="122"/>
      <c r="AC162" s="122"/>
      <c r="AD162" s="122"/>
      <c r="AE162" s="122"/>
    </row>
    <row r="163" spans="1:31">
      <c r="A163" s="214" t="s">
        <v>98</v>
      </c>
      <c r="B163" s="215">
        <v>11016.435273215879</v>
      </c>
      <c r="C163" s="267"/>
      <c r="D163" s="215"/>
      <c r="E163" s="215"/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/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 s="122"/>
      <c r="AC163" s="122"/>
      <c r="AD163" s="122"/>
      <c r="AE163" s="122"/>
    </row>
    <row r="164" spans="1:31" ht="13.5" thickBot="1">
      <c r="A164" s="217" t="s">
        <v>246</v>
      </c>
      <c r="B164" s="215">
        <v>13526.782125454416</v>
      </c>
      <c r="C164" s="268"/>
      <c r="D164" s="218"/>
      <c r="E164" s="218"/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/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 s="122"/>
      <c r="AC164" s="122"/>
      <c r="AD164" s="122"/>
      <c r="AE164" s="122"/>
    </row>
    <row r="165" spans="1:31">
      <c r="AA165" s="179"/>
      <c r="AB165" s="122"/>
      <c r="AC165" s="122"/>
      <c r="AD165" s="122"/>
      <c r="AE165" s="122"/>
    </row>
    <row r="166" spans="1:31" ht="13.5">
      <c r="AA166" s="288"/>
    </row>
    <row r="167" spans="1:31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</row>
    <row r="168" spans="1:31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1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1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1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1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1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1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1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1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>(M148/1000)/1.02</f>
        <v>12.845669612500837</v>
      </c>
      <c r="O308" s="305" t="s">
        <v>242</v>
      </c>
      <c r="P308" s="339">
        <f t="shared" ref="P308:S314" si="142">(P148/1000)/1.02</f>
        <v>13.230221012323254</v>
      </c>
      <c r="Q308" s="340">
        <f t="shared" si="142"/>
        <v>13.250178349054238</v>
      </c>
      <c r="R308" s="340">
        <f t="shared" si="142"/>
        <v>12.982727234948083</v>
      </c>
      <c r="S308" s="340">
        <f t="shared" si="142"/>
        <v>12.910420248951832</v>
      </c>
      <c r="T308" s="279"/>
      <c r="U308" s="305" t="s">
        <v>242</v>
      </c>
      <c r="V308" s="339">
        <f t="shared" ref="V308:W314" si="143">(V148/1000)/1.02</f>
        <v>13.240202825385905</v>
      </c>
      <c r="W308" s="339">
        <f t="shared" si="143"/>
        <v>12.947732227895957</v>
      </c>
      <c r="X308" s="279"/>
      <c r="Y308" s="305" t="s">
        <v>242</v>
      </c>
      <c r="Z308" s="342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5">(B149/1000)/1.02</f>
        <v>13.262998007807239</v>
      </c>
      <c r="C309" s="340">
        <f t="shared" si="145"/>
        <v>13.221897350828796</v>
      </c>
      <c r="D309" s="340">
        <f t="shared" ref="D309:D314" si="146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>(M149/1000)/1.02</f>
        <v>13.678657096171797</v>
      </c>
      <c r="O309" s="346" t="s">
        <v>247</v>
      </c>
      <c r="P309" s="339">
        <f t="shared" si="142"/>
        <v>13.215926465449918</v>
      </c>
      <c r="Q309" s="340">
        <f t="shared" si="142"/>
        <v>13.378442858407467</v>
      </c>
      <c r="R309" s="340">
        <f t="shared" si="142"/>
        <v>13.125179115444075</v>
      </c>
      <c r="S309" s="340">
        <f t="shared" si="142"/>
        <v>13.378226863347018</v>
      </c>
      <c r="T309" s="279"/>
      <c r="U309" s="347" t="s">
        <v>247</v>
      </c>
      <c r="V309" s="339">
        <f t="shared" si="143"/>
        <v>13.290659161767946</v>
      </c>
      <c r="W309" s="339">
        <f t="shared" si="143"/>
        <v>13.25267330202043</v>
      </c>
      <c r="X309" s="279"/>
      <c r="Y309" s="347" t="s">
        <v>247</v>
      </c>
      <c r="Z309" s="342">
        <f t="shared" si="144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5"/>
        <v>14.081125630094927</v>
      </c>
      <c r="C310" s="340">
        <f t="shared" si="145"/>
        <v>14.019438695151617</v>
      </c>
      <c r="D310" s="340">
        <f t="shared" si="146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>(M150/1000)/1.02</f>
        <v>13.814563402703643</v>
      </c>
      <c r="O310" s="353" t="s">
        <v>243</v>
      </c>
      <c r="P310" s="339">
        <f t="shared" si="142"/>
        <v>14.003403562374526</v>
      </c>
      <c r="Q310" s="340">
        <f t="shared" si="142"/>
        <v>13.906122824326985</v>
      </c>
      <c r="R310" s="340">
        <f t="shared" si="142"/>
        <v>13.884604254748531</v>
      </c>
      <c r="S310" s="340">
        <f t="shared" si="142"/>
        <v>13.903640827447211</v>
      </c>
      <c r="T310" s="279"/>
      <c r="U310" s="354" t="s">
        <v>243</v>
      </c>
      <c r="V310" s="339">
        <f t="shared" si="143"/>
        <v>13.955995915606531</v>
      </c>
      <c r="W310" s="339">
        <f t="shared" si="143"/>
        <v>13.893678068552234</v>
      </c>
      <c r="X310" s="279"/>
      <c r="Y310" s="354" t="s">
        <v>243</v>
      </c>
      <c r="Z310" s="342">
        <f t="shared" si="144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5"/>
        <v>13.916737957138787</v>
      </c>
      <c r="C311" s="340">
        <f t="shared" si="145"/>
        <v>13.904369707393043</v>
      </c>
      <c r="D311" s="340">
        <f t="shared" si="146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>(M151/1000)/1.02</f>
        <v>13.627399039649136</v>
      </c>
      <c r="O311" s="353" t="s">
        <v>244</v>
      </c>
      <c r="P311" s="339">
        <f t="shared" si="142"/>
        <v>13.870468141833136</v>
      </c>
      <c r="Q311" s="340">
        <f t="shared" si="142"/>
        <v>13.817948306824341</v>
      </c>
      <c r="R311" s="340">
        <f t="shared" si="142"/>
        <v>13.796716837212617</v>
      </c>
      <c r="S311" s="340">
        <f t="shared" si="142"/>
        <v>13.746510233463953</v>
      </c>
      <c r="T311" s="279"/>
      <c r="U311" s="354" t="s">
        <v>244</v>
      </c>
      <c r="V311" s="339">
        <f t="shared" si="143"/>
        <v>13.842174551678157</v>
      </c>
      <c r="W311" s="339">
        <f t="shared" si="143"/>
        <v>13.771834294001557</v>
      </c>
      <c r="X311" s="279"/>
      <c r="Y311" s="354" t="s">
        <v>244</v>
      </c>
      <c r="Z311" s="342">
        <f t="shared" si="144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5"/>
        <v>0</v>
      </c>
      <c r="C312" s="340">
        <f t="shared" si="145"/>
        <v>11.440558823529413</v>
      </c>
      <c r="D312" s="340">
        <f t="shared" si="146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>(M153/1000)/1.02</f>
        <v>10.863588812907926</v>
      </c>
      <c r="O312" s="353" t="s">
        <v>245</v>
      </c>
      <c r="P312" s="339">
        <f t="shared" si="142"/>
        <v>11.440558823529413</v>
      </c>
      <c r="Q312" s="340">
        <f t="shared" si="142"/>
        <v>13.63885294117647</v>
      </c>
      <c r="R312" s="340">
        <f t="shared" si="142"/>
        <v>10.162628727770178</v>
      </c>
      <c r="S312" s="340">
        <f t="shared" si="142"/>
        <v>11.636274509803922</v>
      </c>
      <c r="T312" s="279"/>
      <c r="U312" s="354" t="s">
        <v>245</v>
      </c>
      <c r="V312" s="339">
        <f t="shared" si="143"/>
        <v>12.010065071624505</v>
      </c>
      <c r="W312" s="339">
        <f t="shared" si="143"/>
        <v>11.428922518221949</v>
      </c>
      <c r="X312" s="279"/>
      <c r="Y312" s="354" t="s">
        <v>245</v>
      </c>
      <c r="Z312" s="342">
        <f t="shared" si="144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5"/>
        <v>11.500111872875923</v>
      </c>
      <c r="C313" s="340">
        <f t="shared" si="145"/>
        <v>11.616046597092371</v>
      </c>
      <c r="D313" s="340">
        <f t="shared" si="146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>(M154/1000)/1.02</f>
        <v>13.311725222054188</v>
      </c>
      <c r="O313" s="353" t="s">
        <v>98</v>
      </c>
      <c r="P313" s="339">
        <f t="shared" si="142"/>
        <v>11.621748419941399</v>
      </c>
      <c r="Q313" s="340">
        <f t="shared" si="142"/>
        <v>11.766660911583049</v>
      </c>
      <c r="R313" s="340">
        <f t="shared" si="142"/>
        <v>11.32876130194987</v>
      </c>
      <c r="S313" s="340">
        <f t="shared" si="142"/>
        <v>11.103390376311644</v>
      </c>
      <c r="T313" s="279"/>
      <c r="U313" s="354" t="s">
        <v>98</v>
      </c>
      <c r="V313" s="339">
        <f t="shared" si="143"/>
        <v>11.691886194190069</v>
      </c>
      <c r="W313" s="339">
        <f t="shared" si="143"/>
        <v>11.217244325839276</v>
      </c>
      <c r="X313" s="279"/>
      <c r="Y313" s="354" t="s">
        <v>98</v>
      </c>
      <c r="Z313" s="342">
        <f t="shared" si="144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5"/>
        <v>13.201520864243111</v>
      </c>
      <c r="C314" s="340">
        <f t="shared" si="145"/>
        <v>13.256447251882694</v>
      </c>
      <c r="D314" s="340">
        <f t="shared" si="146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 t="e">
        <f>(#REF!/1000)/1.02</f>
        <v>#REF!</v>
      </c>
      <c r="O314" s="360" t="s">
        <v>246</v>
      </c>
      <c r="P314" s="339">
        <f t="shared" si="142"/>
        <v>13.237739001698655</v>
      </c>
      <c r="Q314" s="340">
        <f t="shared" si="142"/>
        <v>13.302139435141676</v>
      </c>
      <c r="R314" s="340">
        <f t="shared" si="142"/>
        <v>13.157762681830592</v>
      </c>
      <c r="S314" s="340">
        <f t="shared" si="142"/>
        <v>13.282099216296503</v>
      </c>
      <c r="T314" s="279"/>
      <c r="U314" s="361" t="s">
        <v>246</v>
      </c>
      <c r="V314" s="339">
        <f t="shared" si="143"/>
        <v>13.271829591742092</v>
      </c>
      <c r="W314" s="339">
        <f t="shared" si="143"/>
        <v>13.216915967312961</v>
      </c>
      <c r="X314" s="279"/>
      <c r="Y314" s="361" t="s">
        <v>246</v>
      </c>
      <c r="Z314" s="342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 s="122"/>
      <c r="AC316" s="122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 s="122"/>
      <c r="AC317" s="122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0</v>
      </c>
      <c r="D318" s="340">
        <f>(D158/1000)/1.02</f>
        <v>0</v>
      </c>
      <c r="E318" s="340">
        <f t="shared" ref="E318:F324" si="147">E158/1000/1.02</f>
        <v>0</v>
      </c>
      <c r="F318" s="340">
        <f t="shared" si="147"/>
        <v>0</v>
      </c>
      <c r="G318" s="340">
        <v>13.222344702435999</v>
      </c>
      <c r="H318" s="340">
        <v>12.934055693806535</v>
      </c>
      <c r="I318" s="340">
        <f t="shared" ref="I318:L324" si="148">I158/1000/1.02</f>
        <v>0</v>
      </c>
      <c r="J318" s="340">
        <f t="shared" si="148"/>
        <v>0</v>
      </c>
      <c r="K318" s="340">
        <f t="shared" si="148"/>
        <v>0</v>
      </c>
      <c r="L318" s="340">
        <f t="shared" si="148"/>
        <v>0</v>
      </c>
      <c r="M318" s="341">
        <f t="shared" ref="M318:M324" si="149">(M158/1000)/1.02</f>
        <v>0</v>
      </c>
      <c r="O318" s="305" t="s">
        <v>242</v>
      </c>
      <c r="P318" s="339">
        <f t="shared" ref="P318:S324" si="150">(P158/1000)/1.02</f>
        <v>0</v>
      </c>
      <c r="Q318" s="340">
        <f t="shared" si="150"/>
        <v>0</v>
      </c>
      <c r="R318" s="340">
        <f t="shared" si="150"/>
        <v>0</v>
      </c>
      <c r="S318" s="340">
        <f t="shared" si="150"/>
        <v>0</v>
      </c>
      <c r="T318" s="279"/>
      <c r="U318" s="305" t="s">
        <v>242</v>
      </c>
      <c r="V318" s="339">
        <f t="shared" ref="V318:W324" si="151">(V158/1000)/1.02</f>
        <v>0</v>
      </c>
      <c r="W318" s="339">
        <f t="shared" si="151"/>
        <v>0</v>
      </c>
      <c r="X318" s="279"/>
      <c r="Y318" s="305" t="s">
        <v>242</v>
      </c>
      <c r="Z318" s="342">
        <f t="shared" ref="Z318:Z324" si="152">(Z158/1000)/1.02</f>
        <v>0</v>
      </c>
      <c r="AB318" s="122"/>
      <c r="AC318" s="122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3">(B159/1000)/1.02</f>
        <v>12.733558071831727</v>
      </c>
      <c r="C319" s="340">
        <f t="shared" si="153"/>
        <v>0</v>
      </c>
      <c r="D319" s="340">
        <f t="shared" ref="D319:D324" si="154">D159/1000/1.02</f>
        <v>0</v>
      </c>
      <c r="E319" s="340">
        <f t="shared" si="147"/>
        <v>0</v>
      </c>
      <c r="F319" s="340">
        <f t="shared" si="147"/>
        <v>0</v>
      </c>
      <c r="G319" s="340">
        <v>13.133054758094501</v>
      </c>
      <c r="H319" s="340">
        <v>12.576316997167146</v>
      </c>
      <c r="I319" s="340">
        <f t="shared" si="148"/>
        <v>0</v>
      </c>
      <c r="J319" s="340">
        <f t="shared" si="148"/>
        <v>0</v>
      </c>
      <c r="K319" s="340">
        <f t="shared" si="148"/>
        <v>0</v>
      </c>
      <c r="L319" s="340">
        <f t="shared" si="148"/>
        <v>0</v>
      </c>
      <c r="M319" s="341">
        <f t="shared" si="149"/>
        <v>0</v>
      </c>
      <c r="O319" s="346" t="s">
        <v>247</v>
      </c>
      <c r="P319" s="339">
        <f t="shared" si="150"/>
        <v>0</v>
      </c>
      <c r="Q319" s="340">
        <f t="shared" si="150"/>
        <v>0</v>
      </c>
      <c r="R319" s="340">
        <f t="shared" si="150"/>
        <v>0</v>
      </c>
      <c r="S319" s="340">
        <f t="shared" si="150"/>
        <v>0</v>
      </c>
      <c r="T319" s="279"/>
      <c r="U319" s="347" t="s">
        <v>247</v>
      </c>
      <c r="V319" s="339">
        <f t="shared" si="151"/>
        <v>0</v>
      </c>
      <c r="W319" s="339">
        <f t="shared" si="151"/>
        <v>0</v>
      </c>
      <c r="X319" s="279"/>
      <c r="Y319" s="347" t="s">
        <v>247</v>
      </c>
      <c r="Z319" s="342">
        <f t="shared" si="152"/>
        <v>0</v>
      </c>
      <c r="AB319" s="122"/>
      <c r="AC319" s="122"/>
      <c r="AD319" s="122"/>
      <c r="AE319" s="122"/>
      <c r="AF319" s="122"/>
    </row>
    <row r="320" spans="1:32" ht="13.5" thickBot="1">
      <c r="A320" s="334" t="s">
        <v>243</v>
      </c>
      <c r="B320" s="339">
        <f t="shared" si="153"/>
        <v>13.755628967388146</v>
      </c>
      <c r="C320" s="340">
        <f t="shared" si="153"/>
        <v>0</v>
      </c>
      <c r="D320" s="340">
        <f t="shared" si="154"/>
        <v>0</v>
      </c>
      <c r="E320" s="340">
        <f t="shared" si="147"/>
        <v>0</v>
      </c>
      <c r="F320" s="340">
        <f t="shared" si="147"/>
        <v>0</v>
      </c>
      <c r="G320" s="340">
        <v>13.866172722817</v>
      </c>
      <c r="H320" s="340">
        <v>13.734700206948389</v>
      </c>
      <c r="I320" s="340">
        <f t="shared" si="148"/>
        <v>0</v>
      </c>
      <c r="J320" s="340">
        <f t="shared" si="148"/>
        <v>0</v>
      </c>
      <c r="K320" s="340">
        <f t="shared" si="148"/>
        <v>0</v>
      </c>
      <c r="L320" s="340">
        <f t="shared" si="148"/>
        <v>0</v>
      </c>
      <c r="M320" s="341">
        <f t="shared" si="149"/>
        <v>0</v>
      </c>
      <c r="O320" s="353" t="s">
        <v>243</v>
      </c>
      <c r="P320" s="339">
        <f t="shared" si="150"/>
        <v>0</v>
      </c>
      <c r="Q320" s="340">
        <f t="shared" si="150"/>
        <v>0</v>
      </c>
      <c r="R320" s="340">
        <f t="shared" si="150"/>
        <v>0</v>
      </c>
      <c r="S320" s="340">
        <f t="shared" si="150"/>
        <v>0</v>
      </c>
      <c r="T320" s="279"/>
      <c r="U320" s="354" t="s">
        <v>243</v>
      </c>
      <c r="V320" s="339">
        <f t="shared" si="151"/>
        <v>0</v>
      </c>
      <c r="W320" s="339">
        <f t="shared" si="151"/>
        <v>0</v>
      </c>
      <c r="X320" s="279"/>
      <c r="Y320" s="354" t="s">
        <v>243</v>
      </c>
      <c r="Z320" s="342">
        <f t="shared" si="152"/>
        <v>0</v>
      </c>
      <c r="AB320" s="122"/>
      <c r="AC320" s="122"/>
      <c r="AD320" s="122"/>
      <c r="AE320" s="122"/>
      <c r="AF320" s="122"/>
    </row>
    <row r="321" spans="1:32" ht="13.5" thickBot="1">
      <c r="A321" s="334" t="s">
        <v>244</v>
      </c>
      <c r="B321" s="339">
        <f t="shared" si="153"/>
        <v>13.603203496153366</v>
      </c>
      <c r="C321" s="340">
        <f t="shared" si="153"/>
        <v>0</v>
      </c>
      <c r="D321" s="340">
        <f t="shared" si="154"/>
        <v>0</v>
      </c>
      <c r="E321" s="340">
        <f t="shared" si="147"/>
        <v>0</v>
      </c>
      <c r="F321" s="340">
        <f t="shared" si="147"/>
        <v>0</v>
      </c>
      <c r="G321" s="340">
        <v>13.769766264292601</v>
      </c>
      <c r="H321" s="340">
        <v>13.641307443384223</v>
      </c>
      <c r="I321" s="340">
        <f t="shared" si="148"/>
        <v>0</v>
      </c>
      <c r="J321" s="340">
        <f t="shared" si="148"/>
        <v>0</v>
      </c>
      <c r="K321" s="340">
        <f t="shared" si="148"/>
        <v>0</v>
      </c>
      <c r="L321" s="340">
        <f t="shared" si="148"/>
        <v>0</v>
      </c>
      <c r="M321" s="341">
        <f t="shared" si="149"/>
        <v>0</v>
      </c>
      <c r="O321" s="353" t="s">
        <v>244</v>
      </c>
      <c r="P321" s="339">
        <f t="shared" si="150"/>
        <v>0</v>
      </c>
      <c r="Q321" s="340">
        <f t="shared" si="150"/>
        <v>0</v>
      </c>
      <c r="R321" s="340">
        <f t="shared" si="150"/>
        <v>0</v>
      </c>
      <c r="S321" s="340">
        <f t="shared" si="150"/>
        <v>0</v>
      </c>
      <c r="T321" s="279"/>
      <c r="U321" s="354" t="s">
        <v>244</v>
      </c>
      <c r="V321" s="339">
        <f t="shared" si="151"/>
        <v>0</v>
      </c>
      <c r="W321" s="339">
        <f t="shared" si="151"/>
        <v>0</v>
      </c>
      <c r="X321" s="279"/>
      <c r="Y321" s="354" t="s">
        <v>244</v>
      </c>
      <c r="Z321" s="342">
        <f t="shared" si="152"/>
        <v>0</v>
      </c>
      <c r="AB321" s="122"/>
      <c r="AC321" s="122"/>
      <c r="AD321" s="122"/>
      <c r="AE321" s="122"/>
      <c r="AF321" s="122"/>
    </row>
    <row r="322" spans="1:32" ht="13.5" thickBot="1">
      <c r="A322" s="334" t="s">
        <v>245</v>
      </c>
      <c r="B322" s="339"/>
      <c r="C322" s="340">
        <f>(C162/1000)/1.02</f>
        <v>0</v>
      </c>
      <c r="D322" s="340">
        <f t="shared" si="154"/>
        <v>0</v>
      </c>
      <c r="E322" s="340">
        <f t="shared" si="147"/>
        <v>0</v>
      </c>
      <c r="F322" s="340">
        <f t="shared" si="147"/>
        <v>0</v>
      </c>
      <c r="G322" s="340">
        <f>G162/1000/1.02</f>
        <v>0</v>
      </c>
      <c r="H322" s="340">
        <v>10.073823529411763</v>
      </c>
      <c r="I322" s="340">
        <f t="shared" si="148"/>
        <v>0</v>
      </c>
      <c r="J322" s="340">
        <f t="shared" si="148"/>
        <v>0</v>
      </c>
      <c r="K322" s="340">
        <f t="shared" si="148"/>
        <v>0</v>
      </c>
      <c r="L322" s="340">
        <f t="shared" si="148"/>
        <v>0</v>
      </c>
      <c r="M322" s="341">
        <f t="shared" si="149"/>
        <v>0</v>
      </c>
      <c r="O322" s="353" t="s">
        <v>245</v>
      </c>
      <c r="P322" s="339">
        <f t="shared" si="150"/>
        <v>0</v>
      </c>
      <c r="Q322" s="340">
        <f t="shared" si="150"/>
        <v>0</v>
      </c>
      <c r="R322" s="340">
        <f t="shared" si="150"/>
        <v>0</v>
      </c>
      <c r="S322" s="340">
        <f t="shared" si="150"/>
        <v>0</v>
      </c>
      <c r="T322" s="279"/>
      <c r="U322" s="354" t="s">
        <v>245</v>
      </c>
      <c r="V322" s="339">
        <f t="shared" si="151"/>
        <v>0</v>
      </c>
      <c r="W322" s="339">
        <f t="shared" si="151"/>
        <v>0</v>
      </c>
      <c r="X322" s="279"/>
      <c r="Y322" s="354" t="s">
        <v>245</v>
      </c>
      <c r="Z322" s="342">
        <f t="shared" si="152"/>
        <v>0</v>
      </c>
      <c r="AB322" s="122"/>
      <c r="AC322" s="122"/>
      <c r="AD322" s="122"/>
      <c r="AE322" s="122"/>
      <c r="AF322" s="122"/>
    </row>
    <row r="323" spans="1:32" ht="13.5" thickBot="1">
      <c r="A323" s="334" t="s">
        <v>98</v>
      </c>
      <c r="B323" s="339">
        <f>(B163/1000)/1.02</f>
        <v>10.800426738446939</v>
      </c>
      <c r="C323" s="340">
        <f>(C163/1000)/1.02</f>
        <v>0</v>
      </c>
      <c r="D323" s="340">
        <f t="shared" si="154"/>
        <v>0</v>
      </c>
      <c r="E323" s="340">
        <f t="shared" si="147"/>
        <v>0</v>
      </c>
      <c r="F323" s="340">
        <f t="shared" si="147"/>
        <v>0</v>
      </c>
      <c r="G323" s="340">
        <v>11.7553924512841</v>
      </c>
      <c r="H323" s="340">
        <v>11.443444969882435</v>
      </c>
      <c r="I323" s="340">
        <f t="shared" si="148"/>
        <v>0</v>
      </c>
      <c r="J323" s="340">
        <f t="shared" si="148"/>
        <v>0</v>
      </c>
      <c r="K323" s="340">
        <f t="shared" si="148"/>
        <v>0</v>
      </c>
      <c r="L323" s="340">
        <f t="shared" si="148"/>
        <v>0</v>
      </c>
      <c r="M323" s="341">
        <f t="shared" si="149"/>
        <v>0</v>
      </c>
      <c r="O323" s="353" t="s">
        <v>98</v>
      </c>
      <c r="P323" s="339">
        <f t="shared" si="150"/>
        <v>0</v>
      </c>
      <c r="Q323" s="340">
        <f t="shared" si="150"/>
        <v>0</v>
      </c>
      <c r="R323" s="340">
        <f t="shared" si="150"/>
        <v>0</v>
      </c>
      <c r="S323" s="340">
        <f t="shared" si="150"/>
        <v>0</v>
      </c>
      <c r="T323" s="279"/>
      <c r="U323" s="354" t="s">
        <v>98</v>
      </c>
      <c r="V323" s="339">
        <f t="shared" si="151"/>
        <v>0</v>
      </c>
      <c r="W323" s="339">
        <f t="shared" si="151"/>
        <v>0</v>
      </c>
      <c r="X323" s="279"/>
      <c r="Y323" s="354" t="s">
        <v>98</v>
      </c>
      <c r="Z323" s="342">
        <f t="shared" si="152"/>
        <v>0</v>
      </c>
      <c r="AB323" s="122"/>
      <c r="AC323" s="122"/>
      <c r="AD323" s="122"/>
      <c r="AE323" s="122"/>
      <c r="AF323" s="122"/>
    </row>
    <row r="324" spans="1:32" ht="13.5" thickBot="1">
      <c r="A324" s="336" t="s">
        <v>246</v>
      </c>
      <c r="B324" s="339">
        <f>(B164/1000)/1.02</f>
        <v>13.261551103386681</v>
      </c>
      <c r="C324" s="340">
        <f>(C164/1000)/1.02</f>
        <v>0</v>
      </c>
      <c r="D324" s="340">
        <f t="shared" si="154"/>
        <v>0</v>
      </c>
      <c r="E324" s="340">
        <f t="shared" si="147"/>
        <v>0</v>
      </c>
      <c r="F324" s="340">
        <f t="shared" si="147"/>
        <v>0</v>
      </c>
      <c r="G324" s="340">
        <v>13.300815170088001</v>
      </c>
      <c r="H324" s="340">
        <v>13.117576915975153</v>
      </c>
      <c r="I324" s="340">
        <f t="shared" si="148"/>
        <v>0</v>
      </c>
      <c r="J324" s="340">
        <f t="shared" si="148"/>
        <v>0</v>
      </c>
      <c r="K324" s="340">
        <f t="shared" si="148"/>
        <v>0</v>
      </c>
      <c r="L324" s="340">
        <f t="shared" si="148"/>
        <v>0</v>
      </c>
      <c r="M324" s="341">
        <f t="shared" si="149"/>
        <v>0</v>
      </c>
      <c r="O324" s="360" t="s">
        <v>246</v>
      </c>
      <c r="P324" s="339">
        <f t="shared" si="150"/>
        <v>0</v>
      </c>
      <c r="Q324" s="340">
        <f t="shared" si="150"/>
        <v>0</v>
      </c>
      <c r="R324" s="340">
        <f t="shared" si="150"/>
        <v>0</v>
      </c>
      <c r="S324" s="340">
        <f t="shared" si="150"/>
        <v>0</v>
      </c>
      <c r="T324" s="279"/>
      <c r="U324" s="361" t="s">
        <v>246</v>
      </c>
      <c r="V324" s="339">
        <f t="shared" si="151"/>
        <v>0</v>
      </c>
      <c r="W324" s="339">
        <f t="shared" si="151"/>
        <v>0</v>
      </c>
      <c r="X324" s="279"/>
      <c r="Y324" s="361" t="s">
        <v>246</v>
      </c>
      <c r="Z324" s="342">
        <f t="shared" si="152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55">B207*0.521</f>
        <v>4.239554752941177</v>
      </c>
      <c r="C361" s="410">
        <f t="shared" si="155"/>
        <v>4.3182063431372546</v>
      </c>
      <c r="D361" s="410">
        <f t="shared" si="155"/>
        <v>4.2855059313725485</v>
      </c>
      <c r="E361" s="410">
        <f t="shared" si="155"/>
        <v>4.2212676529411768</v>
      </c>
      <c r="F361" s="410">
        <f t="shared" si="155"/>
        <v>4.0758238627450982</v>
      </c>
      <c r="G361" s="410">
        <f t="shared" si="155"/>
        <v>4.0245870882352941</v>
      </c>
      <c r="H361" s="410">
        <f t="shared" si="155"/>
        <v>4.0007998627450982</v>
      </c>
      <c r="I361" s="410">
        <f t="shared" si="155"/>
        <v>4.1291037745098036</v>
      </c>
      <c r="J361" s="410">
        <f t="shared" si="155"/>
        <v>4.2058695490196083</v>
      </c>
      <c r="K361" s="410">
        <f t="shared" si="155"/>
        <v>4.0356200294117643</v>
      </c>
      <c r="L361" s="410">
        <f t="shared" si="155"/>
        <v>3.9060595882352946</v>
      </c>
      <c r="M361" s="411">
        <f t="shared" si="155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56">B208*0.55</f>
        <v>5.0294372549019615</v>
      </c>
      <c r="C362" s="414">
        <f t="shared" si="156"/>
        <v>5.0321991176470577</v>
      </c>
      <c r="D362" s="414">
        <f t="shared" si="156"/>
        <v>4.9662924019607848</v>
      </c>
      <c r="E362" s="414">
        <f t="shared" si="156"/>
        <v>4.9240065686274512</v>
      </c>
      <c r="F362" s="414">
        <f t="shared" si="156"/>
        <v>4.7653989705882349</v>
      </c>
      <c r="G362" s="414">
        <f t="shared" si="156"/>
        <v>4.6678915196078421</v>
      </c>
      <c r="H362" s="414">
        <f t="shared" si="156"/>
        <v>4.6059205392156866</v>
      </c>
      <c r="I362" s="414">
        <f t="shared" si="156"/>
        <v>4.7843416176470601</v>
      </c>
      <c r="J362" s="414">
        <f t="shared" si="156"/>
        <v>4.803961519607844</v>
      </c>
      <c r="K362" s="414">
        <f t="shared" si="156"/>
        <v>4.67049</v>
      </c>
      <c r="L362" s="414">
        <f t="shared" si="156"/>
        <v>4.5795065196078433</v>
      </c>
      <c r="M362" s="415">
        <f t="shared" si="156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57">B209*0.52</f>
        <v>4.7609405490196073</v>
      </c>
      <c r="C363" s="388">
        <f t="shared" si="157"/>
        <v>4.7835605490196089</v>
      </c>
      <c r="D363" s="388">
        <f t="shared" si="157"/>
        <v>4.637351843137254</v>
      </c>
      <c r="E363" s="388">
        <f t="shared" si="157"/>
        <v>4.6410387450980384</v>
      </c>
      <c r="F363" s="388">
        <f t="shared" si="157"/>
        <v>4.449082274509804</v>
      </c>
      <c r="G363" s="388">
        <f t="shared" si="157"/>
        <v>4.429929960784313</v>
      </c>
      <c r="H363" s="388">
        <f t="shared" si="157"/>
        <v>4.4411553333333327</v>
      </c>
      <c r="I363" s="388">
        <f t="shared" si="157"/>
        <v>4.5292983921568624</v>
      </c>
      <c r="J363" s="388">
        <f t="shared" si="157"/>
        <v>4.586243490196078</v>
      </c>
      <c r="K363" s="388">
        <f t="shared" si="157"/>
        <v>4.4115632549019601</v>
      </c>
      <c r="L363" s="388">
        <f t="shared" si="157"/>
        <v>4.2340673725490205</v>
      </c>
      <c r="M363" s="389">
        <f t="shared" si="157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58">B210*0.54</f>
        <v>0</v>
      </c>
      <c r="C364" s="388">
        <f t="shared" si="158"/>
        <v>0</v>
      </c>
      <c r="D364" s="388">
        <f t="shared" si="158"/>
        <v>4.1955363529411764</v>
      </c>
      <c r="E364" s="388">
        <f t="shared" si="158"/>
        <v>4.7118176470588233</v>
      </c>
      <c r="F364" s="388">
        <f t="shared" si="158"/>
        <v>4.0948867058823533</v>
      </c>
      <c r="G364" s="388">
        <f t="shared" si="158"/>
        <v>3.5837364705882355</v>
      </c>
      <c r="H364" s="388">
        <f t="shared" si="158"/>
        <v>0</v>
      </c>
      <c r="I364" s="388">
        <f t="shared" si="158"/>
        <v>3.8726470588235298</v>
      </c>
      <c r="J364" s="388">
        <f t="shared" si="158"/>
        <v>4.2677047058823536</v>
      </c>
      <c r="K364" s="388">
        <f t="shared" si="158"/>
        <v>4.0208823529411761</v>
      </c>
      <c r="L364" s="388">
        <f t="shared" si="158"/>
        <v>4.4109047647058821</v>
      </c>
      <c r="M364" s="389">
        <f t="shared" si="158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59">B211*0.478</f>
        <v>3.2855231588235285</v>
      </c>
      <c r="C365" s="388">
        <f t="shared" si="159"/>
        <v>3.4129668627450975</v>
      </c>
      <c r="D365" s="388">
        <f t="shared" si="159"/>
        <v>3.4445692235294114</v>
      </c>
      <c r="E365" s="388">
        <f t="shared" si="159"/>
        <v>3.4135334333333329</v>
      </c>
      <c r="F365" s="388">
        <f t="shared" si="159"/>
        <v>3.3232650078431369</v>
      </c>
      <c r="G365" s="388">
        <f t="shared" si="159"/>
        <v>3.3069000686274506</v>
      </c>
      <c r="H365" s="388">
        <f t="shared" si="159"/>
        <v>3.3027747411764703</v>
      </c>
      <c r="I365" s="388">
        <f t="shared" si="159"/>
        <v>3.3844560372549015</v>
      </c>
      <c r="J365" s="388">
        <f t="shared" si="159"/>
        <v>3.5024887647058822</v>
      </c>
      <c r="K365" s="388">
        <f t="shared" si="159"/>
        <v>3.3617454137254903</v>
      </c>
      <c r="L365" s="388">
        <f t="shared" si="159"/>
        <v>3.1397500294117644</v>
      </c>
      <c r="M365" s="389">
        <f t="shared" si="159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0">B212*0.53</f>
        <v>4.0926532450980391</v>
      </c>
      <c r="C366" s="396">
        <f t="shared" si="160"/>
        <v>4.1347627843137253</v>
      </c>
      <c r="D366" s="396">
        <f t="shared" si="160"/>
        <v>4.119478</v>
      </c>
      <c r="E366" s="396">
        <f t="shared" si="160"/>
        <v>4.0572575588235296</v>
      </c>
      <c r="F366" s="396">
        <f t="shared" si="160"/>
        <v>3.9884884999999999</v>
      </c>
      <c r="G366" s="396">
        <f t="shared" si="160"/>
        <v>3.9692609313725491</v>
      </c>
      <c r="H366" s="396">
        <f t="shared" si="160"/>
        <v>3.9708415784313731</v>
      </c>
      <c r="I366" s="396">
        <f t="shared" si="160"/>
        <v>4.0573230294117648</v>
      </c>
      <c r="J366" s="396">
        <f t="shared" si="160"/>
        <v>4.1166918627450979</v>
      </c>
      <c r="K366" s="396">
        <f t="shared" si="160"/>
        <v>4.0068810588235291</v>
      </c>
      <c r="L366" s="396">
        <f t="shared" si="160"/>
        <v>3.9505394607843138</v>
      </c>
      <c r="M366" s="397">
        <f t="shared" si="160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61">B216*0.521</f>
        <v>4.152870568627451</v>
      </c>
      <c r="C370" s="410">
        <f t="shared" si="161"/>
        <v>4.2083928235294117</v>
      </c>
      <c r="D370" s="410">
        <f t="shared" si="161"/>
        <v>4.1999035882352942</v>
      </c>
      <c r="E370" s="410">
        <f t="shared" si="161"/>
        <v>4.2024677254901963</v>
      </c>
      <c r="F370" s="410">
        <f t="shared" si="161"/>
        <v>4.2093888529411769</v>
      </c>
      <c r="G370" s="410">
        <f t="shared" si="161"/>
        <v>4.3122761372549014</v>
      </c>
      <c r="H370" s="410">
        <f t="shared" si="161"/>
        <v>4.1137981225490199</v>
      </c>
      <c r="I370" s="410">
        <f t="shared" si="161"/>
        <v>4.1385946578431367</v>
      </c>
      <c r="J370" s="410">
        <f t="shared" si="161"/>
        <v>4.2312350980392157</v>
      </c>
      <c r="K370" s="410">
        <f t="shared" si="161"/>
        <v>4.2179547058823532</v>
      </c>
      <c r="L370" s="410">
        <f t="shared" si="161"/>
        <v>4.169532352941177</v>
      </c>
      <c r="M370" s="410">
        <f t="shared" si="161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62">B217*0.55</f>
        <v>4.8520967647058821</v>
      </c>
      <c r="C371" s="414">
        <f t="shared" si="162"/>
        <v>4.8123775980392161</v>
      </c>
      <c r="D371" s="414">
        <f t="shared" si="162"/>
        <v>4.7612426960784324</v>
      </c>
      <c r="E371" s="414">
        <f t="shared" si="162"/>
        <v>4.7906908823529415</v>
      </c>
      <c r="F371" s="414">
        <f t="shared" si="162"/>
        <v>4.7790076960784322</v>
      </c>
      <c r="G371" s="414">
        <f t="shared" si="162"/>
        <v>4.8675835784313737</v>
      </c>
      <c r="H371" s="414">
        <f t="shared" si="162"/>
        <v>4.7231325490196081</v>
      </c>
      <c r="I371" s="414">
        <f t="shared" si="162"/>
        <v>4.7839695588235296</v>
      </c>
      <c r="J371" s="414">
        <f t="shared" si="162"/>
        <v>4.8680359803921576</v>
      </c>
      <c r="K371" s="414">
        <f t="shared" si="162"/>
        <v>4.9016199509803924</v>
      </c>
      <c r="L371" s="414">
        <f t="shared" si="162"/>
        <v>4.9018820098039226</v>
      </c>
      <c r="M371" s="414">
        <f t="shared" si="162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63">B218*0.52</f>
        <v>4.5551862352941175</v>
      </c>
      <c r="C372" s="388">
        <f t="shared" si="163"/>
        <v>4.481780588235293</v>
      </c>
      <c r="D372" s="388">
        <f t="shared" si="163"/>
        <v>4.4206158431372549</v>
      </c>
      <c r="E372" s="388">
        <f t="shared" si="163"/>
        <v>4.4943008627450984</v>
      </c>
      <c r="F372" s="388">
        <f t="shared" si="163"/>
        <v>4.5509370196078427</v>
      </c>
      <c r="G372" s="388">
        <f t="shared" si="163"/>
        <v>4.6713476078431375</v>
      </c>
      <c r="H372" s="388">
        <f t="shared" si="163"/>
        <v>4.5304408627450981</v>
      </c>
      <c r="I372" s="388">
        <f t="shared" si="163"/>
        <v>4.600308470588236</v>
      </c>
      <c r="J372" s="388">
        <f t="shared" si="163"/>
        <v>4.6832255294117635</v>
      </c>
      <c r="K372" s="388">
        <f t="shared" si="163"/>
        <v>4.6764058823529409</v>
      </c>
      <c r="L372" s="388">
        <f t="shared" si="163"/>
        <v>4.6680761960784318</v>
      </c>
      <c r="M372" s="388">
        <f t="shared" si="163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64">B219*0.54</f>
        <v>3.9906825882352943</v>
      </c>
      <c r="C373" s="388">
        <f t="shared" si="164"/>
        <v>4.2217681764705883</v>
      </c>
      <c r="D373" s="388">
        <f t="shared" si="164"/>
        <v>4.5317647058823534</v>
      </c>
      <c r="E373" s="388">
        <f t="shared" si="164"/>
        <v>3.3792289411764709</v>
      </c>
      <c r="F373" s="388">
        <f t="shared" si="164"/>
        <v>4.545272117647059</v>
      </c>
      <c r="G373" s="388">
        <f t="shared" si="164"/>
        <v>5.0246470588235299</v>
      </c>
      <c r="H373" s="388">
        <f t="shared" si="164"/>
        <v>4.3036522941176472</v>
      </c>
      <c r="I373" s="388">
        <f t="shared" si="164"/>
        <v>4.2485294117647063</v>
      </c>
      <c r="J373" s="388">
        <f t="shared" si="164"/>
        <v>3.994547294117647</v>
      </c>
      <c r="K373" s="388">
        <f t="shared" si="164"/>
        <v>0</v>
      </c>
      <c r="L373" s="388">
        <f t="shared" si="164"/>
        <v>4.1199114705882351</v>
      </c>
      <c r="M373" s="388">
        <f t="shared" si="164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65">B220*0.478</f>
        <v>3.2654776196078434</v>
      </c>
      <c r="C374" s="388">
        <f t="shared" si="165"/>
        <v>3.352321784313725</v>
      </c>
      <c r="D374" s="388">
        <f t="shared" si="165"/>
        <v>3.4245860117647058</v>
      </c>
      <c r="E374" s="388">
        <f t="shared" si="165"/>
        <v>3.4448972627450978</v>
      </c>
      <c r="F374" s="388">
        <f t="shared" si="165"/>
        <v>3.4676106980392154</v>
      </c>
      <c r="G374" s="388">
        <f t="shared" si="165"/>
        <v>3.5857587078431368</v>
      </c>
      <c r="H374" s="388">
        <f t="shared" si="165"/>
        <v>3.3936355117647063</v>
      </c>
      <c r="I374" s="388">
        <f t="shared" si="165"/>
        <v>3.3838908725490193</v>
      </c>
      <c r="J374" s="388">
        <f t="shared" si="165"/>
        <v>3.4532374254901956</v>
      </c>
      <c r="K374" s="388">
        <f t="shared" si="165"/>
        <v>3.4278776509803919</v>
      </c>
      <c r="L374" s="388">
        <f t="shared" si="165"/>
        <v>3.2937100803921564</v>
      </c>
      <c r="M374" s="388">
        <f t="shared" si="165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66">B221*0.53</f>
        <v>4.067751039215687</v>
      </c>
      <c r="C375" s="396">
        <f t="shared" si="166"/>
        <v>4.1146492843137255</v>
      </c>
      <c r="D375" s="396">
        <f t="shared" si="166"/>
        <v>4.1506877254901964</v>
      </c>
      <c r="E375" s="396">
        <f t="shared" si="166"/>
        <v>4.1380861960784312</v>
      </c>
      <c r="F375" s="396">
        <f t="shared" si="166"/>
        <v>4.1518474901960785</v>
      </c>
      <c r="G375" s="396">
        <f t="shared" si="166"/>
        <v>4.2015485000000004</v>
      </c>
      <c r="H375" s="396">
        <f t="shared" si="166"/>
        <v>4.0835341274509807</v>
      </c>
      <c r="I375" s="396">
        <f t="shared" si="166"/>
        <v>4.066513333333333</v>
      </c>
      <c r="J375" s="396">
        <f t="shared" si="166"/>
        <v>4.1418060686274512</v>
      </c>
      <c r="K375" s="396">
        <f t="shared" si="166"/>
        <v>4.1334518137254896</v>
      </c>
      <c r="L375" s="396">
        <f t="shared" si="166"/>
        <v>4.1090645392156864</v>
      </c>
      <c r="M375" s="396">
        <f t="shared" si="166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67">B225*0.521</f>
        <v>4.5135353725490202</v>
      </c>
      <c r="C379" s="410">
        <f t="shared" si="167"/>
        <v>4.7563060490196083</v>
      </c>
      <c r="D379" s="410">
        <f t="shared" si="167"/>
        <v>4.9364254539215686</v>
      </c>
      <c r="E379" s="410">
        <f t="shared" si="167"/>
        <v>4.8365119558823535</v>
      </c>
      <c r="F379" s="410">
        <f t="shared" si="167"/>
        <v>4.911448100980393</v>
      </c>
      <c r="G379" s="410">
        <f t="shared" si="167"/>
        <v>5.055837632352941</v>
      </c>
      <c r="H379" s="410">
        <f t="shared" si="167"/>
        <v>4.929867494117647</v>
      </c>
      <c r="I379" s="410">
        <f t="shared" si="167"/>
        <v>4.830303372549019</v>
      </c>
      <c r="J379" s="410">
        <f t="shared" si="167"/>
        <v>4.7876171274509804</v>
      </c>
      <c r="K379" s="410">
        <f t="shared" si="167"/>
        <v>4.5930246490196085</v>
      </c>
      <c r="L379" s="410">
        <f t="shared" si="167"/>
        <v>4.6452084176470585</v>
      </c>
      <c r="M379" s="410">
        <f t="shared" si="167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68">B226*0.55</f>
        <v>5.2326158823529418</v>
      </c>
      <c r="C380" s="414">
        <f t="shared" si="168"/>
        <v>5.4548563235294116</v>
      </c>
      <c r="D380" s="414">
        <f t="shared" si="168"/>
        <v>5.6384781372549018</v>
      </c>
      <c r="E380" s="414">
        <f t="shared" si="168"/>
        <v>5.5708820588235302</v>
      </c>
      <c r="F380" s="414">
        <f t="shared" si="168"/>
        <v>5.6677645588235297</v>
      </c>
      <c r="G380" s="414">
        <f t="shared" si="168"/>
        <v>5.8274640686274521</v>
      </c>
      <c r="H380" s="414">
        <f t="shared" si="168"/>
        <v>5.7441541666666671</v>
      </c>
      <c r="I380" s="414">
        <f t="shared" si="168"/>
        <v>5.7371174019607851</v>
      </c>
      <c r="J380" s="414">
        <f t="shared" si="168"/>
        <v>5.6741569607843152</v>
      </c>
      <c r="K380" s="414">
        <f t="shared" si="168"/>
        <v>5.5205441176470602</v>
      </c>
      <c r="L380" s="414">
        <f t="shared" si="168"/>
        <v>5.6170502450980395</v>
      </c>
      <c r="M380" s="414">
        <f t="shared" si="168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69">B227*0.52</f>
        <v>4.964140235294118</v>
      </c>
      <c r="C381" s="388">
        <f t="shared" si="169"/>
        <v>5.1959577647058826</v>
      </c>
      <c r="D381" s="388">
        <f t="shared" si="169"/>
        <v>5.4454726274509806</v>
      </c>
      <c r="E381" s="388">
        <f t="shared" si="169"/>
        <v>5.4134829411764693</v>
      </c>
      <c r="F381" s="388">
        <f t="shared" si="169"/>
        <v>5.4944408235294118</v>
      </c>
      <c r="G381" s="388">
        <f t="shared" si="169"/>
        <v>5.6385695294117655</v>
      </c>
      <c r="H381" s="388">
        <f t="shared" si="169"/>
        <v>5.5495037254901955</v>
      </c>
      <c r="I381" s="388">
        <f t="shared" si="169"/>
        <v>5.5690735686274504</v>
      </c>
      <c r="J381" s="388">
        <f t="shared" si="169"/>
        <v>5.5485289803921578</v>
      </c>
      <c r="K381" s="388">
        <f t="shared" si="169"/>
        <v>5.4422210980392167</v>
      </c>
      <c r="L381" s="388">
        <f t="shared" si="169"/>
        <v>5.4373330980392156</v>
      </c>
      <c r="M381" s="388">
        <f t="shared" si="169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0">B228*0.54</f>
        <v>3.8101764705882353</v>
      </c>
      <c r="C382" s="388">
        <f t="shared" si="170"/>
        <v>4.5054661764705886</v>
      </c>
      <c r="D382" s="388">
        <f t="shared" si="170"/>
        <v>0</v>
      </c>
      <c r="E382" s="388">
        <f t="shared" si="170"/>
        <v>0</v>
      </c>
      <c r="F382" s="388">
        <f t="shared" si="170"/>
        <v>4.32</v>
      </c>
      <c r="G382" s="388">
        <f t="shared" si="170"/>
        <v>0</v>
      </c>
      <c r="H382" s="388">
        <f t="shared" si="170"/>
        <v>0</v>
      </c>
      <c r="I382" s="388">
        <f t="shared" si="170"/>
        <v>0</v>
      </c>
      <c r="J382" s="388">
        <f t="shared" si="170"/>
        <v>4.0240588235294119</v>
      </c>
      <c r="K382" s="388">
        <f t="shared" si="170"/>
        <v>4.5690633529411766</v>
      </c>
      <c r="L382" s="388">
        <f t="shared" si="170"/>
        <v>4.5091800000000006</v>
      </c>
      <c r="M382" s="388">
        <f t="shared" si="170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71">B229*0.478</f>
        <v>3.5871725568627446</v>
      </c>
      <c r="C383" s="388">
        <f t="shared" si="171"/>
        <v>3.7541398313725485</v>
      </c>
      <c r="D383" s="388">
        <f t="shared" si="171"/>
        <v>3.977840082352941</v>
      </c>
      <c r="E383" s="388">
        <f t="shared" si="171"/>
        <v>3.9315935823529418</v>
      </c>
      <c r="F383" s="388">
        <f t="shared" si="171"/>
        <v>3.9637512666666663</v>
      </c>
      <c r="G383" s="388">
        <f t="shared" si="171"/>
        <v>4.090658392156862</v>
      </c>
      <c r="H383" s="388">
        <f t="shared" si="171"/>
        <v>3.918549805882352</v>
      </c>
      <c r="I383" s="388">
        <f t="shared" si="171"/>
        <v>3.790322556862745</v>
      </c>
      <c r="J383" s="388">
        <f t="shared" si="171"/>
        <v>3.7137122784313723</v>
      </c>
      <c r="K383" s="388">
        <f t="shared" si="171"/>
        <v>3.5185294137254899</v>
      </c>
      <c r="L383" s="388">
        <f t="shared" si="171"/>
        <v>3.5062523117647055</v>
      </c>
      <c r="M383" s="388">
        <f t="shared" si="171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72">B230*0.53</f>
        <v>4.3545844411764705</v>
      </c>
      <c r="C384" s="396">
        <f t="shared" si="172"/>
        <v>4.5082719705882353</v>
      </c>
      <c r="D384" s="396">
        <f t="shared" si="172"/>
        <v>4.7163624411764706</v>
      </c>
      <c r="E384" s="396">
        <f t="shared" si="172"/>
        <v>4.7088120196078425</v>
      </c>
      <c r="F384" s="396">
        <f t="shared" si="172"/>
        <v>4.7191813137254908</v>
      </c>
      <c r="G384" s="396">
        <f t="shared" si="172"/>
        <v>4.8328886568627452</v>
      </c>
      <c r="H384" s="396">
        <f t="shared" si="172"/>
        <v>4.7853211568627447</v>
      </c>
      <c r="I384" s="396">
        <f t="shared" si="172"/>
        <v>4.7701049607843142</v>
      </c>
      <c r="J384" s="396">
        <f t="shared" si="172"/>
        <v>4.7611256176470595</v>
      </c>
      <c r="K384" s="396">
        <f t="shared" si="172"/>
        <v>4.6369549313725491</v>
      </c>
      <c r="L384" s="396">
        <f t="shared" si="172"/>
        <v>4.677624637254902</v>
      </c>
      <c r="M384" s="396">
        <f t="shared" si="172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73">B234*0.521</f>
        <v>4.9139494117647056</v>
      </c>
      <c r="C388" s="410">
        <f t="shared" si="173"/>
        <v>4.920982911764705</v>
      </c>
      <c r="D388" s="410">
        <f t="shared" si="173"/>
        <v>4.5725641617647055</v>
      </c>
      <c r="E388" s="410">
        <f t="shared" si="173"/>
        <v>4.5739254019607829</v>
      </c>
      <c r="F388" s="410">
        <f t="shared" si="173"/>
        <v>4.3954318235294121</v>
      </c>
      <c r="G388" s="410">
        <f t="shared" si="173"/>
        <v>4.4029761078431369</v>
      </c>
      <c r="H388" s="410">
        <f t="shared" si="173"/>
        <v>4.3209135000000014</v>
      </c>
      <c r="I388" s="410">
        <f t="shared" si="173"/>
        <v>4.4328008039215687</v>
      </c>
      <c r="J388" s="410">
        <f t="shared" si="173"/>
        <v>4.5098985882352949</v>
      </c>
      <c r="K388" s="410">
        <f t="shared" si="173"/>
        <v>4.5821745686274511</v>
      </c>
      <c r="L388" s="410">
        <f t="shared" si="173"/>
        <v>4.8983194117647058</v>
      </c>
      <c r="M388" s="410">
        <f t="shared" si="173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74">B235*0.55</f>
        <v>5.8651094117647053</v>
      </c>
      <c r="C389" s="414">
        <f t="shared" si="174"/>
        <v>5.8214388725490203</v>
      </c>
      <c r="D389" s="414">
        <f t="shared" si="174"/>
        <v>5.3412829411764706</v>
      </c>
      <c r="E389" s="414">
        <f t="shared" si="174"/>
        <v>5.2510818627450995</v>
      </c>
      <c r="F389" s="414">
        <f t="shared" si="174"/>
        <v>4.9639608333333332</v>
      </c>
      <c r="G389" s="414">
        <f t="shared" si="174"/>
        <v>4.9370566666666669</v>
      </c>
      <c r="H389" s="414">
        <f t="shared" si="174"/>
        <v>4.8558890686274525</v>
      </c>
      <c r="I389" s="414">
        <f t="shared" si="174"/>
        <v>5.0192148039215683</v>
      </c>
      <c r="J389" s="414">
        <f t="shared" si="174"/>
        <v>5.1188543137254907</v>
      </c>
      <c r="K389" s="414">
        <f t="shared" si="174"/>
        <v>5.2989329411764707</v>
      </c>
      <c r="L389" s="414">
        <f t="shared" si="174"/>
        <v>5.8200352941176474</v>
      </c>
      <c r="M389" s="414">
        <f t="shared" si="174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75">B236*0.52</f>
        <v>5.6978887843137267</v>
      </c>
      <c r="C390" s="388">
        <f t="shared" si="175"/>
        <v>5.5825996862745111</v>
      </c>
      <c r="D390" s="388">
        <f t="shared" si="175"/>
        <v>5.0988594901960784</v>
      </c>
      <c r="E390" s="388">
        <f t="shared" si="175"/>
        <v>5.0606440784313724</v>
      </c>
      <c r="F390" s="388">
        <f t="shared" si="175"/>
        <v>4.7536569803921571</v>
      </c>
      <c r="G390" s="388">
        <f t="shared" si="175"/>
        <v>4.7371525882352934</v>
      </c>
      <c r="H390" s="388">
        <f t="shared" si="175"/>
        <v>4.6263043921568636</v>
      </c>
      <c r="I390" s="388">
        <f t="shared" si="175"/>
        <v>4.8531324705882346</v>
      </c>
      <c r="J390" s="388">
        <f t="shared" si="175"/>
        <v>4.967954588235294</v>
      </c>
      <c r="K390" s="388">
        <f t="shared" si="175"/>
        <v>5.1231536862745113</v>
      </c>
      <c r="L390" s="388">
        <f t="shared" si="175"/>
        <v>5.6454692156862745</v>
      </c>
      <c r="M390" s="388">
        <f t="shared" si="175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76">B237*0.54</f>
        <v>0</v>
      </c>
      <c r="C391" s="388">
        <f t="shared" si="176"/>
        <v>5.6901176470588242</v>
      </c>
      <c r="D391" s="388">
        <f t="shared" si="176"/>
        <v>4.9891150588235291</v>
      </c>
      <c r="E391" s="388">
        <f t="shared" si="176"/>
        <v>3.2352352941176474</v>
      </c>
      <c r="F391" s="388">
        <f t="shared" si="176"/>
        <v>4.5564564705882349</v>
      </c>
      <c r="G391" s="388">
        <f t="shared" si="176"/>
        <v>4.3507058823529414</v>
      </c>
      <c r="H391" s="388">
        <f t="shared" si="176"/>
        <v>4.362146470588236</v>
      </c>
      <c r="I391" s="388">
        <f t="shared" si="176"/>
        <v>4.6588870588235309</v>
      </c>
      <c r="J391" s="388">
        <f t="shared" si="176"/>
        <v>4.1306765294117653</v>
      </c>
      <c r="K391" s="388">
        <f t="shared" si="176"/>
        <v>0</v>
      </c>
      <c r="L391" s="388">
        <f t="shared" si="176"/>
        <v>0</v>
      </c>
      <c r="M391" s="388">
        <f t="shared" si="176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77">B238*0.478</f>
        <v>3.680002031372549</v>
      </c>
      <c r="C392" s="388">
        <f t="shared" si="177"/>
        <v>3.7112768215686271</v>
      </c>
      <c r="D392" s="388">
        <f t="shared" si="177"/>
        <v>3.6658935333333331</v>
      </c>
      <c r="E392" s="388">
        <f t="shared" si="177"/>
        <v>3.6718324490196075</v>
      </c>
      <c r="F392" s="388">
        <f t="shared" si="177"/>
        <v>3.6145432117647061</v>
      </c>
      <c r="G392" s="388">
        <f t="shared" si="177"/>
        <v>3.6615160843137251</v>
      </c>
      <c r="H392" s="388">
        <f t="shared" si="177"/>
        <v>3.5867414196078431</v>
      </c>
      <c r="I392" s="388">
        <f t="shared" si="177"/>
        <v>3.5677891882352943</v>
      </c>
      <c r="J392" s="388">
        <f t="shared" si="177"/>
        <v>3.6340399882352941</v>
      </c>
      <c r="K392" s="388">
        <f t="shared" si="177"/>
        <v>3.6145347764705886</v>
      </c>
      <c r="L392" s="388">
        <f t="shared" si="177"/>
        <v>3.646393007843137</v>
      </c>
      <c r="M392" s="388">
        <f t="shared" si="177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78">B239*0.53</f>
        <v>4.8585484509803925</v>
      </c>
      <c r="C393" s="396">
        <f t="shared" si="178"/>
        <v>4.8892499999999997</v>
      </c>
      <c r="D393" s="396">
        <f t="shared" si="178"/>
        <v>4.5658715392156859</v>
      </c>
      <c r="E393" s="396">
        <f t="shared" si="178"/>
        <v>4.481313676470589</v>
      </c>
      <c r="F393" s="396">
        <f t="shared" si="178"/>
        <v>4.3422068627450985</v>
      </c>
      <c r="G393" s="396">
        <f t="shared" si="178"/>
        <v>4.3678287254901962</v>
      </c>
      <c r="H393" s="396">
        <f t="shared" si="178"/>
        <v>4.3062479215686267</v>
      </c>
      <c r="I393" s="396">
        <f t="shared" si="178"/>
        <v>4.3844764411764716</v>
      </c>
      <c r="J393" s="396">
        <f t="shared" si="178"/>
        <v>4.4617099117647054</v>
      </c>
      <c r="K393" s="396">
        <f t="shared" si="178"/>
        <v>4.4830834607843135</v>
      </c>
      <c r="L393" s="396">
        <f t="shared" si="178"/>
        <v>4.6027018627450991</v>
      </c>
      <c r="M393" s="396">
        <f t="shared" si="178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79">B243*0.507</f>
        <v>5.1352190882352931</v>
      </c>
      <c r="C397" s="385">
        <f t="shared" si="179"/>
        <v>5.1020523411764698</v>
      </c>
      <c r="D397" s="385">
        <f t="shared" si="179"/>
        <v>5.3706773441176479</v>
      </c>
      <c r="E397" s="385">
        <f t="shared" si="179"/>
        <v>5.4425107941176467</v>
      </c>
      <c r="F397" s="385">
        <f t="shared" si="179"/>
        <v>5.5150117941176475</v>
      </c>
      <c r="G397" s="385">
        <f t="shared" si="179"/>
        <v>5.3647707941176472</v>
      </c>
      <c r="H397" s="385">
        <f t="shared" si="179"/>
        <v>5.501740323529412</v>
      </c>
      <c r="I397" s="385">
        <f t="shared" si="179"/>
        <v>5.734955352941177</v>
      </c>
      <c r="J397" s="385">
        <f t="shared" si="179"/>
        <v>5.9451814117647057</v>
      </c>
      <c r="K397" s="385">
        <f t="shared" si="179"/>
        <v>5.9998280588235291</v>
      </c>
      <c r="L397" s="385">
        <f t="shared" si="179"/>
        <v>6.0711361176470593</v>
      </c>
      <c r="M397" s="385">
        <f t="shared" si="179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0">B244*0.539</f>
        <v>6.1833234509803932</v>
      </c>
      <c r="C398" s="391">
        <f t="shared" si="180"/>
        <v>6.0110210039215684</v>
      </c>
      <c r="D398" s="391">
        <f t="shared" si="180"/>
        <v>6.3549648303921575</v>
      </c>
      <c r="E398" s="391">
        <f t="shared" si="180"/>
        <v>6.4113547990196089</v>
      </c>
      <c r="F398" s="391">
        <f t="shared" si="180"/>
        <v>6.4004014735294117</v>
      </c>
      <c r="G398" s="391">
        <f t="shared" si="180"/>
        <v>6.1861357627450984</v>
      </c>
      <c r="H398" s="391">
        <f t="shared" si="180"/>
        <v>6.3821536813725492</v>
      </c>
      <c r="I398" s="391">
        <f t="shared" si="180"/>
        <v>6.7674076303921566</v>
      </c>
      <c r="J398" s="391">
        <f t="shared" si="180"/>
        <v>7.0574789352941174</v>
      </c>
      <c r="K398" s="391">
        <f t="shared" si="180"/>
        <v>7.1723789392156867</v>
      </c>
      <c r="L398" s="391">
        <f t="shared" si="180"/>
        <v>7.2262002029411772</v>
      </c>
      <c r="M398" s="391">
        <f t="shared" si="180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81">B245*0.535</f>
        <v>6.2439797549019609</v>
      </c>
      <c r="C399" s="388">
        <f t="shared" si="181"/>
        <v>6.0201472941176473</v>
      </c>
      <c r="D399" s="388">
        <f t="shared" si="181"/>
        <v>6.3166642254901966</v>
      </c>
      <c r="E399" s="388">
        <f t="shared" si="181"/>
        <v>6.3839441470588243</v>
      </c>
      <c r="F399" s="388">
        <f t="shared" si="181"/>
        <v>6.3634751519607846</v>
      </c>
      <c r="G399" s="388">
        <f t="shared" si="181"/>
        <v>6.1253880882352938</v>
      </c>
      <c r="H399" s="388">
        <f t="shared" si="181"/>
        <v>6.3125683284313725</v>
      </c>
      <c r="I399" s="388">
        <f t="shared" si="181"/>
        <v>6.7315352205882357</v>
      </c>
      <c r="J399" s="388">
        <f t="shared" si="181"/>
        <v>7.0205390735294113</v>
      </c>
      <c r="K399" s="388">
        <f t="shared" si="181"/>
        <v>7.1808444803921576</v>
      </c>
      <c r="L399" s="388">
        <f t="shared" si="181"/>
        <v>7.2133074411764708</v>
      </c>
      <c r="M399" s="388">
        <f t="shared" si="181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82">B246*0.54</f>
        <v>0</v>
      </c>
      <c r="C400" s="388">
        <f t="shared" si="182"/>
        <v>4.4393024117647064</v>
      </c>
      <c r="D400" s="388">
        <f t="shared" si="182"/>
        <v>0</v>
      </c>
      <c r="E400" s="388">
        <f t="shared" si="182"/>
        <v>5.4275294117647057</v>
      </c>
      <c r="F400" s="388">
        <f t="shared" si="182"/>
        <v>5.0721098823529411</v>
      </c>
      <c r="G400" s="388">
        <f t="shared" si="182"/>
        <v>4.6960327058823532</v>
      </c>
      <c r="H400" s="388">
        <f t="shared" si="182"/>
        <v>6.874941176470589</v>
      </c>
      <c r="I400" s="388">
        <f t="shared" si="182"/>
        <v>0</v>
      </c>
      <c r="J400" s="388">
        <f t="shared" si="182"/>
        <v>5.269098705882354</v>
      </c>
      <c r="K400" s="388">
        <f t="shared" si="182"/>
        <v>5.8277895882352952</v>
      </c>
      <c r="L400" s="388">
        <f t="shared" si="182"/>
        <v>5.1163814117647064</v>
      </c>
      <c r="M400" s="388">
        <f t="shared" si="182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83">B247*0.465</f>
        <v>3.7317025000000004</v>
      </c>
      <c r="C401" s="388">
        <f t="shared" si="183"/>
        <v>3.842612294117647</v>
      </c>
      <c r="D401" s="388">
        <f t="shared" si="183"/>
        <v>4.1510062205882363</v>
      </c>
      <c r="E401" s="388">
        <f t="shared" si="183"/>
        <v>4.2863558676470594</v>
      </c>
      <c r="F401" s="388">
        <f t="shared" si="183"/>
        <v>4.3482382500000005</v>
      </c>
      <c r="G401" s="388">
        <f t="shared" si="183"/>
        <v>4.3829277058823539</v>
      </c>
      <c r="H401" s="388">
        <f t="shared" si="183"/>
        <v>4.4514755441176472</v>
      </c>
      <c r="I401" s="388">
        <f t="shared" si="183"/>
        <v>4.561661397058824</v>
      </c>
      <c r="J401" s="388">
        <f t="shared" si="183"/>
        <v>4.7065175588235295</v>
      </c>
      <c r="K401" s="388">
        <f t="shared" si="183"/>
        <v>4.7662085147058821</v>
      </c>
      <c r="L401" s="388">
        <f t="shared" si="183"/>
        <v>4.8257417352941179</v>
      </c>
      <c r="M401" s="388">
        <f t="shared" si="183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84">B248*0.516</f>
        <v>4.7593872117647056</v>
      </c>
      <c r="C402" s="396">
        <f t="shared" si="184"/>
        <v>4.7989037058823536</v>
      </c>
      <c r="D402" s="396">
        <f t="shared" si="184"/>
        <v>5.0184662588235298</v>
      </c>
      <c r="E402" s="396">
        <f t="shared" si="184"/>
        <v>5.0800503529411767</v>
      </c>
      <c r="F402" s="396">
        <f t="shared" si="184"/>
        <v>5.141860070588236</v>
      </c>
      <c r="G402" s="396">
        <f t="shared" si="184"/>
        <v>5.2056695411764702</v>
      </c>
      <c r="H402" s="396">
        <f t="shared" si="184"/>
        <v>5.3190666117647059</v>
      </c>
      <c r="I402" s="396">
        <f t="shared" si="184"/>
        <v>5.5185936941176479</v>
      </c>
      <c r="J402" s="396">
        <f t="shared" si="184"/>
        <v>5.7601029411764708</v>
      </c>
      <c r="K402" s="396">
        <f t="shared" si="184"/>
        <v>5.8479362588235304</v>
      </c>
      <c r="L402" s="396">
        <f t="shared" si="184"/>
        <v>5.9254940941176475</v>
      </c>
      <c r="M402" s="396">
        <f t="shared" si="184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85">B252*0.507</f>
        <v>6.5620115294117651</v>
      </c>
      <c r="C406" s="385">
        <f t="shared" si="185"/>
        <v>6.5824008823529416</v>
      </c>
      <c r="D406" s="385">
        <f t="shared" si="185"/>
        <v>6.3442500588235289</v>
      </c>
      <c r="E406" s="385">
        <f t="shared" si="185"/>
        <v>6.3080641764705883</v>
      </c>
      <c r="F406" s="385">
        <f t="shared" si="185"/>
        <v>6.2025236764705882</v>
      </c>
      <c r="G406" s="385">
        <f t="shared" si="185"/>
        <v>6.3292935588235295</v>
      </c>
      <c r="H406" s="385">
        <f t="shared" si="185"/>
        <v>6.3474411764705883</v>
      </c>
      <c r="I406" s="385">
        <f t="shared" si="185"/>
        <v>6.4731722058823538</v>
      </c>
      <c r="J406" s="385">
        <f t="shared" si="185"/>
        <v>6.5462696764705885</v>
      </c>
      <c r="K406" s="385">
        <f t="shared" si="185"/>
        <v>6.4039517941176465</v>
      </c>
      <c r="L406" s="385">
        <f t="shared" si="185"/>
        <v>6.3177617941176472</v>
      </c>
      <c r="M406" s="385">
        <f t="shared" si="185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86">B253*0.539</f>
        <v>7.6711346627450983</v>
      </c>
      <c r="C407" s="391">
        <f t="shared" si="186"/>
        <v>7.5416045078431377</v>
      </c>
      <c r="D407" s="391">
        <f t="shared" si="186"/>
        <v>7.1775168774509801</v>
      </c>
      <c r="E407" s="391">
        <f t="shared" si="186"/>
        <v>7.1742141813725491</v>
      </c>
      <c r="F407" s="391">
        <f t="shared" si="186"/>
        <v>6.9068152245098045</v>
      </c>
      <c r="G407" s="391">
        <f t="shared" si="186"/>
        <v>7.0501569901960792</v>
      </c>
      <c r="H407" s="391">
        <f t="shared" si="186"/>
        <v>7.1358981509803918</v>
      </c>
      <c r="I407" s="391">
        <f t="shared" si="186"/>
        <v>7.3953648245098051</v>
      </c>
      <c r="J407" s="391">
        <f t="shared" si="186"/>
        <v>7.4949905196078435</v>
      </c>
      <c r="K407" s="391">
        <f t="shared" si="186"/>
        <v>7.3695726176470586</v>
      </c>
      <c r="L407" s="391">
        <f t="shared" si="186"/>
        <v>7.2594369509803922</v>
      </c>
      <c r="M407" s="391">
        <f t="shared" si="186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87">B254*0.535</f>
        <v>7.6330610980392164</v>
      </c>
      <c r="C408" s="388">
        <f t="shared" si="187"/>
        <v>7.4960990000000001</v>
      </c>
      <c r="D408" s="388">
        <f t="shared" si="187"/>
        <v>7.1115719460784321</v>
      </c>
      <c r="E408" s="388">
        <f t="shared" si="187"/>
        <v>7.1190063480392158</v>
      </c>
      <c r="F408" s="388">
        <f t="shared" si="187"/>
        <v>6.8322626078431377</v>
      </c>
      <c r="G408" s="388">
        <f t="shared" si="187"/>
        <v>6.9983612254901963</v>
      </c>
      <c r="H408" s="388">
        <f t="shared" si="187"/>
        <v>7.0658797990196094</v>
      </c>
      <c r="I408" s="388">
        <f t="shared" si="187"/>
        <v>7.3357379950980395</v>
      </c>
      <c r="J408" s="388">
        <f t="shared" si="187"/>
        <v>7.4476143627450986</v>
      </c>
      <c r="K408" s="388">
        <f t="shared" si="187"/>
        <v>7.3263356323529418</v>
      </c>
      <c r="L408" s="388">
        <f t="shared" si="187"/>
        <v>7.2307085784313729</v>
      </c>
      <c r="M408" s="388">
        <f t="shared" si="187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88">B255*0.54</f>
        <v>6.6547376470588242</v>
      </c>
      <c r="C409" s="388">
        <f t="shared" si="188"/>
        <v>0</v>
      </c>
      <c r="D409" s="388">
        <f t="shared" si="188"/>
        <v>6.3739164705882363</v>
      </c>
      <c r="E409" s="388">
        <f t="shared" si="188"/>
        <v>5.568490588235294</v>
      </c>
      <c r="F409" s="388">
        <f t="shared" si="188"/>
        <v>0</v>
      </c>
      <c r="G409" s="388">
        <f t="shared" si="188"/>
        <v>0</v>
      </c>
      <c r="H409" s="388">
        <f t="shared" si="188"/>
        <v>0</v>
      </c>
      <c r="I409" s="388">
        <f t="shared" si="188"/>
        <v>0</v>
      </c>
      <c r="J409" s="388">
        <f t="shared" si="188"/>
        <v>0</v>
      </c>
      <c r="K409" s="388">
        <f t="shared" si="188"/>
        <v>6.5927170588235295</v>
      </c>
      <c r="L409" s="388">
        <f t="shared" si="188"/>
        <v>0</v>
      </c>
      <c r="M409" s="388">
        <f t="shared" si="188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89">B256*0.465</f>
        <v>5.1291524117647063</v>
      </c>
      <c r="C410" s="388">
        <f t="shared" si="189"/>
        <v>5.2422919264705889</v>
      </c>
      <c r="D410" s="388">
        <f t="shared" si="189"/>
        <v>5.2305556911764715</v>
      </c>
      <c r="E410" s="388">
        <f t="shared" si="189"/>
        <v>5.1842138823529416</v>
      </c>
      <c r="F410" s="388">
        <f t="shared" si="189"/>
        <v>5.1899461470588237</v>
      </c>
      <c r="G410" s="388">
        <f t="shared" si="189"/>
        <v>5.323771323529412</v>
      </c>
      <c r="H410" s="388">
        <f t="shared" si="189"/>
        <v>5.3045125735294123</v>
      </c>
      <c r="I410" s="388">
        <f t="shared" si="189"/>
        <v>5.3603180441176477</v>
      </c>
      <c r="J410" s="388">
        <f t="shared" si="189"/>
        <v>5.3846316176470594</v>
      </c>
      <c r="K410" s="388">
        <f t="shared" si="189"/>
        <v>5.2730799411764711</v>
      </c>
      <c r="L410" s="388">
        <f t="shared" si="189"/>
        <v>5.112533676470588</v>
      </c>
      <c r="M410" s="388">
        <f t="shared" si="189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0">B257*0.516</f>
        <v>6.2606016941176472</v>
      </c>
      <c r="C411" s="396">
        <f t="shared" si="190"/>
        <v>6.3656208470588229</v>
      </c>
      <c r="D411" s="396">
        <f t="shared" si="190"/>
        <v>6.2509762705882359</v>
      </c>
      <c r="E411" s="396">
        <f t="shared" si="190"/>
        <v>6.2392504235294117</v>
      </c>
      <c r="F411" s="396">
        <f t="shared" si="190"/>
        <v>6.2878621764705889</v>
      </c>
      <c r="G411" s="396">
        <f t="shared" si="190"/>
        <v>6.3366707176470589</v>
      </c>
      <c r="H411" s="396">
        <f t="shared" si="190"/>
        <v>6.3718912588235295</v>
      </c>
      <c r="I411" s="396">
        <f t="shared" si="190"/>
        <v>6.464001305882352</v>
      </c>
      <c r="J411" s="396">
        <f t="shared" si="190"/>
        <v>6.5202569411764699</v>
      </c>
      <c r="K411" s="396">
        <f t="shared" si="190"/>
        <v>6.4611127176470591</v>
      </c>
      <c r="L411" s="396">
        <f t="shared" si="190"/>
        <v>6.4381775294117638</v>
      </c>
      <c r="M411" s="396">
        <f t="shared" si="190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191">B261*0.507</f>
        <v>6.4666458235294115</v>
      </c>
      <c r="C415" s="385">
        <f t="shared" si="191"/>
        <v>6.4796240294117649</v>
      </c>
      <c r="D415" s="385">
        <f t="shared" si="191"/>
        <v>6.1812247058823537</v>
      </c>
      <c r="E415" s="385">
        <f t="shared" si="191"/>
        <v>6.2794137058823525</v>
      </c>
      <c r="F415" s="385">
        <f t="shared" si="191"/>
        <v>6.0117177058823525</v>
      </c>
      <c r="G415" s="385">
        <f t="shared" si="191"/>
        <v>5.9960205882352939</v>
      </c>
      <c r="H415" s="385">
        <f t="shared" si="191"/>
        <v>5.9068233823529415</v>
      </c>
      <c r="I415" s="385">
        <f t="shared" si="191"/>
        <v>5.9094279705882347</v>
      </c>
      <c r="J415" s="385">
        <f t="shared" si="191"/>
        <v>5.9798363529411773</v>
      </c>
      <c r="K415" s="385">
        <f t="shared" si="191"/>
        <v>5.9031252647058823</v>
      </c>
      <c r="L415" s="385">
        <f t="shared" si="191"/>
        <v>5.862475794117648</v>
      </c>
      <c r="M415" s="385">
        <f t="shared" si="191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192">B262*0.539</f>
        <v>7.3596576598039221</v>
      </c>
      <c r="C416" s="391">
        <f t="shared" si="192"/>
        <v>7.2714725039215695</v>
      </c>
      <c r="D416" s="391">
        <f t="shared" si="192"/>
        <v>6.8854306637254901</v>
      </c>
      <c r="E416" s="391">
        <f t="shared" si="192"/>
        <v>6.9361780421568637</v>
      </c>
      <c r="F416" s="391">
        <f t="shared" si="192"/>
        <v>6.6510042392156858</v>
      </c>
      <c r="G416" s="391">
        <f t="shared" si="192"/>
        <v>6.6268765911764707</v>
      </c>
      <c r="H416" s="391">
        <f t="shared" si="192"/>
        <v>6.52254468627451</v>
      </c>
      <c r="I416" s="391">
        <f t="shared" si="192"/>
        <v>6.6218448676470594</v>
      </c>
      <c r="J416" s="391">
        <f t="shared" si="192"/>
        <v>6.718727475490196</v>
      </c>
      <c r="K416" s="391">
        <f t="shared" si="192"/>
        <v>6.7322495058823542</v>
      </c>
      <c r="L416" s="391">
        <f t="shared" si="192"/>
        <v>6.7342353509803932</v>
      </c>
      <c r="M416" s="391">
        <f t="shared" si="192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193">B263*0.535</f>
        <v>7.3192620931372545</v>
      </c>
      <c r="C417" s="388">
        <f t="shared" si="193"/>
        <v>7.1667057941176475</v>
      </c>
      <c r="D417" s="388">
        <f t="shared" si="193"/>
        <v>6.8081634803921567</v>
      </c>
      <c r="E417" s="388">
        <f t="shared" si="193"/>
        <v>6.8384612647058827</v>
      </c>
      <c r="F417" s="388">
        <f t="shared" si="193"/>
        <v>6.5327376127450982</v>
      </c>
      <c r="G417" s="388">
        <f t="shared" si="193"/>
        <v>6.5096654754901957</v>
      </c>
      <c r="H417" s="388">
        <f t="shared" si="193"/>
        <v>6.4126012647058834</v>
      </c>
      <c r="I417" s="388">
        <f t="shared" si="193"/>
        <v>6.519843588235295</v>
      </c>
      <c r="J417" s="388">
        <f t="shared" si="193"/>
        <v>6.6427949803921571</v>
      </c>
      <c r="K417" s="388">
        <f t="shared" si="193"/>
        <v>6.6700380196078441</v>
      </c>
      <c r="L417" s="388">
        <f t="shared" si="193"/>
        <v>6.6574392941176477</v>
      </c>
      <c r="M417" s="388">
        <f t="shared" si="193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194">B264*0.465</f>
        <v>5.1975994999999999</v>
      </c>
      <c r="C419" s="388">
        <f t="shared" si="194"/>
        <v>5.2810615294117644</v>
      </c>
      <c r="D419" s="388">
        <f t="shared" si="194"/>
        <v>5.1480920441176474</v>
      </c>
      <c r="E419" s="388">
        <f t="shared" si="194"/>
        <v>5.2818980735294119</v>
      </c>
      <c r="F419" s="388">
        <f t="shared" si="194"/>
        <v>5.0193987352941178</v>
      </c>
      <c r="G419" s="388">
        <f t="shared" si="194"/>
        <v>4.9728782205882354</v>
      </c>
      <c r="H419" s="388">
        <f t="shared" si="194"/>
        <v>4.9320316176470582</v>
      </c>
      <c r="I419" s="388">
        <f t="shared" si="194"/>
        <v>4.8614906617647069</v>
      </c>
      <c r="J419" s="388">
        <f t="shared" si="194"/>
        <v>4.894601852941177</v>
      </c>
      <c r="K419" s="388">
        <f t="shared" si="194"/>
        <v>4.6872278088235291</v>
      </c>
      <c r="L419" s="388">
        <f t="shared" si="194"/>
        <v>4.5528441764705878</v>
      </c>
      <c r="M419" s="388">
        <f t="shared" si="194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195">B265*0.516</f>
        <v>6.522990223529411</v>
      </c>
      <c r="C420" s="396">
        <f t="shared" si="195"/>
        <v>6.5899366705882354</v>
      </c>
      <c r="D420" s="396">
        <f t="shared" si="195"/>
        <v>6.4147789529411767</v>
      </c>
      <c r="E420" s="396">
        <f t="shared" si="195"/>
        <v>6.4667705058823532</v>
      </c>
      <c r="F420" s="396">
        <f t="shared" si="195"/>
        <v>6.2544016000000004</v>
      </c>
      <c r="G420" s="396">
        <f t="shared" si="195"/>
        <v>6.2586990705882348</v>
      </c>
      <c r="H420" s="396">
        <f t="shared" si="195"/>
        <v>6.2095470352941167</v>
      </c>
      <c r="I420" s="396">
        <f t="shared" si="195"/>
        <v>6.2138313529411766</v>
      </c>
      <c r="J420" s="396">
        <f t="shared" si="195"/>
        <v>6.259592458823529</v>
      </c>
      <c r="K420" s="396">
        <f t="shared" si="195"/>
        <v>6.2746252588235292</v>
      </c>
      <c r="L420" s="396">
        <f t="shared" si="195"/>
        <v>6.2517098000000004</v>
      </c>
      <c r="M420" s="396">
        <f t="shared" si="195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196">B269*0.507</f>
        <v>5.965232764705882</v>
      </c>
      <c r="C423" s="414">
        <f t="shared" si="196"/>
        <v>5.9576824411764706</v>
      </c>
      <c r="D423" s="414">
        <f t="shared" si="196"/>
        <v>5.8484637058823532</v>
      </c>
      <c r="E423" s="414">
        <f t="shared" si="196"/>
        <v>5.9247075588235294</v>
      </c>
      <c r="F423" s="414">
        <f t="shared" si="196"/>
        <v>5.884289717647059</v>
      </c>
      <c r="G423" s="414">
        <f t="shared" si="196"/>
        <v>5.8366535882352935</v>
      </c>
      <c r="H423" s="414">
        <f t="shared" si="196"/>
        <v>5.7361830882352942</v>
      </c>
      <c r="I423" s="414">
        <f t="shared" si="196"/>
        <v>5.7371374411764711</v>
      </c>
      <c r="J423" s="414">
        <f t="shared" si="196"/>
        <v>5.7260778823529419</v>
      </c>
      <c r="K423" s="414">
        <f t="shared" si="196"/>
        <v>5.4541419705882355</v>
      </c>
      <c r="L423" s="414">
        <f t="shared" si="196"/>
        <v>5.5137343529411762</v>
      </c>
      <c r="M423" s="415">
        <f t="shared" si="196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197">E270*0.539</f>
        <v>6.3946960000000006</v>
      </c>
      <c r="F424" s="388">
        <f t="shared" si="197"/>
        <v>6.3185849725490204</v>
      </c>
      <c r="G424" s="388">
        <f t="shared" si="197"/>
        <v>6.3731523813725488</v>
      </c>
      <c r="H424" s="388">
        <f t="shared" si="197"/>
        <v>6.4347283754901969</v>
      </c>
      <c r="I424" s="388">
        <f t="shared" si="197"/>
        <v>6.2597515372549024</v>
      </c>
      <c r="J424" s="388">
        <f t="shared" si="197"/>
        <v>6.4490694745098045</v>
      </c>
      <c r="K424" s="388">
        <f t="shared" si="197"/>
        <v>6.1859449990196085</v>
      </c>
      <c r="L424" s="388">
        <f t="shared" si="197"/>
        <v>6.4772993352941182</v>
      </c>
      <c r="M424" s="389">
        <f t="shared" si="197"/>
        <v>7.0357181313725485</v>
      </c>
      <c r="N424" s="370"/>
      <c r="O424" s="416" t="s">
        <v>247</v>
      </c>
      <c r="P424" s="391" t="s">
        <v>248</v>
      </c>
      <c r="Q424" s="391">
        <f t="shared" ref="Q424:S425" si="198">Q270*0.539</f>
        <v>6.3498686382352938</v>
      </c>
      <c r="R424" s="391">
        <f t="shared" si="198"/>
        <v>6.3984621303921569</v>
      </c>
      <c r="S424" s="392">
        <f t="shared" si="198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199">E271*0.539</f>
        <v>6.6009316676470586</v>
      </c>
      <c r="F425" s="388">
        <f t="shared" si="199"/>
        <v>6.5268455892156867</v>
      </c>
      <c r="G425" s="388">
        <f t="shared" si="199"/>
        <v>6.5248592156862752</v>
      </c>
      <c r="H425" s="388">
        <f t="shared" si="199"/>
        <v>6.4823167911764719</v>
      </c>
      <c r="I425" s="388">
        <f t="shared" si="199"/>
        <v>6.5650707294117652</v>
      </c>
      <c r="J425" s="388">
        <f t="shared" si="199"/>
        <v>6.6005596519607845</v>
      </c>
      <c r="K425" s="388">
        <f t="shared" si="199"/>
        <v>6.4460896500000011</v>
      </c>
      <c r="L425" s="388">
        <f t="shared" si="199"/>
        <v>6.5378950892156871</v>
      </c>
      <c r="M425" s="389">
        <f t="shared" si="199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198"/>
        <v>6.5537448598039232</v>
      </c>
      <c r="R425" s="388">
        <f t="shared" si="198"/>
        <v>6.5460995147058831</v>
      </c>
      <c r="S425" s="389">
        <f t="shared" si="198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0">B272*0.535</f>
        <v>6.7835188627450984</v>
      </c>
      <c r="C426" s="388">
        <f t="shared" si="200"/>
        <v>6.6651574558823539</v>
      </c>
      <c r="D426" s="388">
        <f t="shared" si="200"/>
        <v>6.4492130980392153</v>
      </c>
      <c r="E426" s="388">
        <f t="shared" si="200"/>
        <v>6.500109955882353</v>
      </c>
      <c r="F426" s="388">
        <f t="shared" si="200"/>
        <v>6.4532019950980386</v>
      </c>
      <c r="G426" s="388">
        <f t="shared" si="200"/>
        <v>6.4587130196078437</v>
      </c>
      <c r="H426" s="388">
        <f t="shared" si="200"/>
        <v>6.3852218529411759</v>
      </c>
      <c r="I426" s="388">
        <f t="shared" si="200"/>
        <v>6.4914125343137252</v>
      </c>
      <c r="J426" s="388">
        <f t="shared" si="200"/>
        <v>6.5098616421568645</v>
      </c>
      <c r="K426" s="388">
        <f t="shared" si="200"/>
        <v>6.3534161029411775</v>
      </c>
      <c r="L426" s="388">
        <f t="shared" si="200"/>
        <v>6.4783050343137258</v>
      </c>
      <c r="M426" s="389">
        <f t="shared" si="200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01">B273*0.54</f>
        <v>0</v>
      </c>
      <c r="C427" s="388">
        <f t="shared" si="201"/>
        <v>5.7172801764705889</v>
      </c>
      <c r="D427" s="388">
        <f t="shared" si="201"/>
        <v>6.7403075294117647</v>
      </c>
      <c r="E427" s="388">
        <f t="shared" si="201"/>
        <v>5.7492582352941177</v>
      </c>
      <c r="F427" s="388">
        <f t="shared" si="201"/>
        <v>0</v>
      </c>
      <c r="G427" s="388">
        <f t="shared" si="201"/>
        <v>0</v>
      </c>
      <c r="H427" s="388">
        <f t="shared" si="201"/>
        <v>0</v>
      </c>
      <c r="I427" s="388">
        <f t="shared" si="201"/>
        <v>6.9177335294117652</v>
      </c>
      <c r="J427" s="388">
        <f t="shared" si="201"/>
        <v>7.129080000000001</v>
      </c>
      <c r="K427" s="388">
        <f t="shared" si="201"/>
        <v>0</v>
      </c>
      <c r="L427" s="388">
        <f t="shared" si="201"/>
        <v>0</v>
      </c>
      <c r="M427" s="389">
        <f t="shared" si="201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02">B274*0.465</f>
        <v>4.5414904264705882</v>
      </c>
      <c r="C428" s="388">
        <f t="shared" si="202"/>
        <v>4.6277433676470592</v>
      </c>
      <c r="D428" s="388">
        <f t="shared" si="202"/>
        <v>4.5926103382352945</v>
      </c>
      <c r="E428" s="388">
        <f t="shared" si="202"/>
        <v>4.7492168676470596</v>
      </c>
      <c r="F428" s="388">
        <f t="shared" si="202"/>
        <v>4.7476103382352939</v>
      </c>
      <c r="G428" s="388">
        <f t="shared" si="202"/>
        <v>4.7204283529411768</v>
      </c>
      <c r="H428" s="388">
        <f t="shared" si="202"/>
        <v>4.6023849117647062</v>
      </c>
      <c r="I428" s="388">
        <f t="shared" si="202"/>
        <v>4.5338138235294112</v>
      </c>
      <c r="J428" s="388">
        <f t="shared" si="202"/>
        <v>4.5146198088235296</v>
      </c>
      <c r="K428" s="388">
        <f t="shared" si="202"/>
        <v>4.2117151617647064</v>
      </c>
      <c r="L428" s="388">
        <f t="shared" si="202"/>
        <v>4.1475292058823534</v>
      </c>
      <c r="M428" s="389">
        <f t="shared" si="202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03">B275*0.516</f>
        <v>6.3277393647058817</v>
      </c>
      <c r="C429" s="396">
        <f t="shared" si="203"/>
        <v>6.3782259176470584</v>
      </c>
      <c r="D429" s="396">
        <f t="shared" si="203"/>
        <v>6.3116088000000001</v>
      </c>
      <c r="E429" s="396">
        <f t="shared" si="203"/>
        <v>6.3316316235294119</v>
      </c>
      <c r="F429" s="396">
        <f t="shared" si="203"/>
        <v>6.2818866941176479</v>
      </c>
      <c r="G429" s="396">
        <f t="shared" si="203"/>
        <v>6.2495704235294118</v>
      </c>
      <c r="H429" s="396">
        <f t="shared" si="203"/>
        <v>6.144729341176471</v>
      </c>
      <c r="I429" s="396">
        <f t="shared" si="203"/>
        <v>6.1475111882352955</v>
      </c>
      <c r="J429" s="396">
        <f t="shared" si="203"/>
        <v>6.1473275529411762</v>
      </c>
      <c r="K429" s="396">
        <f t="shared" si="203"/>
        <v>6.0394916470588242</v>
      </c>
      <c r="L429" s="396">
        <f t="shared" si="203"/>
        <v>6.0709474117647062</v>
      </c>
      <c r="M429" s="397">
        <f t="shared" si="203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04">B279*0.507</f>
        <v>5.848791764705882</v>
      </c>
      <c r="C433" s="431">
        <f t="shared" si="204"/>
        <v>6.1309273235294119</v>
      </c>
      <c r="D433" s="432">
        <f t="shared" si="204"/>
        <v>6.1089523529411762</v>
      </c>
      <c r="E433" s="431">
        <f t="shared" si="204"/>
        <v>6.0019753529411766</v>
      </c>
      <c r="F433" s="431">
        <f t="shared" si="204"/>
        <v>6.0736015294117651</v>
      </c>
      <c r="G433" s="431">
        <f t="shared" si="204"/>
        <v>6.209944764705881</v>
      </c>
      <c r="H433" s="431">
        <f t="shared" si="204"/>
        <v>5.7993542941176468</v>
      </c>
      <c r="I433" s="431">
        <f t="shared" si="204"/>
        <v>5.8016904705882357</v>
      </c>
      <c r="J433" s="431">
        <f t="shared" si="204"/>
        <v>5.7801230882352943</v>
      </c>
      <c r="K433" s="431">
        <f t="shared" si="204"/>
        <v>5.8904552352941186</v>
      </c>
      <c r="L433" s="431">
        <f t="shared" si="204"/>
        <v>5.9891412941176476</v>
      </c>
      <c r="M433" s="433">
        <f t="shared" si="204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05">B280*0.539</f>
        <v>6.6767689676470594</v>
      </c>
      <c r="C434" s="435">
        <f t="shared" si="205"/>
        <v>7.0741926911764708</v>
      </c>
      <c r="D434" s="436">
        <f t="shared" si="205"/>
        <v>6.787930848039216</v>
      </c>
      <c r="E434" s="435">
        <f t="shared" si="205"/>
        <v>6.5606815784313728</v>
      </c>
      <c r="F434" s="435">
        <f t="shared" si="205"/>
        <v>6.6757739313725493</v>
      </c>
      <c r="G434" s="435">
        <f t="shared" si="205"/>
        <v>6.7629651078431383</v>
      </c>
      <c r="H434" s="435">
        <f t="shared" si="205"/>
        <v>6.5382285294117644</v>
      </c>
      <c r="I434" s="435">
        <f t="shared" si="205"/>
        <v>6.5415840686274516</v>
      </c>
      <c r="J434" s="435">
        <f t="shared" si="205"/>
        <v>6.5722436568627458</v>
      </c>
      <c r="K434" s="435">
        <f t="shared" si="205"/>
        <v>6.6930377843137254</v>
      </c>
      <c r="L434" s="435">
        <f t="shared" si="205"/>
        <v>6.7232376372549023</v>
      </c>
      <c r="M434" s="435">
        <f t="shared" si="205"/>
        <v>6.7261598627450985</v>
      </c>
      <c r="N434" s="370"/>
      <c r="O434" s="416" t="s">
        <v>247</v>
      </c>
      <c r="P434" s="391">
        <f t="shared" ref="P434:S435" si="206">P280*0.539</f>
        <v>6.8303226696078427</v>
      </c>
      <c r="Q434" s="391">
        <f t="shared" si="206"/>
        <v>6.9287288994000003</v>
      </c>
      <c r="R434" s="391">
        <f t="shared" si="206"/>
        <v>6.8196470496000003</v>
      </c>
      <c r="S434" s="391">
        <f t="shared" si="206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07">B281*0.539</f>
        <v>6.8802187450980394</v>
      </c>
      <c r="C435" s="426">
        <f t="shared" si="207"/>
        <v>7.0391735441176477</v>
      </c>
      <c r="D435" s="437">
        <f t="shared" si="207"/>
        <v>6.9162556509803927</v>
      </c>
      <c r="E435" s="426">
        <f t="shared" si="207"/>
        <v>6.7547744215686283</v>
      </c>
      <c r="F435" s="426">
        <f t="shared" si="207"/>
        <v>6.8433078137254899</v>
      </c>
      <c r="G435" s="426">
        <f t="shared" si="207"/>
        <v>6.9557263039215691</v>
      </c>
      <c r="H435" s="426">
        <f t="shared" si="207"/>
        <v>6.6709229313725489</v>
      </c>
      <c r="I435" s="426">
        <f t="shared" si="207"/>
        <v>6.7822475686274517</v>
      </c>
      <c r="J435" s="426">
        <f t="shared" si="207"/>
        <v>6.8062277843137267</v>
      </c>
      <c r="K435" s="426">
        <f t="shared" si="207"/>
        <v>6.9640332450980402</v>
      </c>
      <c r="L435" s="426">
        <f t="shared" si="207"/>
        <v>7.1130667450980392</v>
      </c>
      <c r="M435" s="426">
        <f t="shared" si="207"/>
        <v>7.1393667745098037</v>
      </c>
      <c r="N435" s="370"/>
      <c r="O435" s="387" t="s">
        <v>243</v>
      </c>
      <c r="P435" s="388">
        <f t="shared" si="206"/>
        <v>6.9457289107843136</v>
      </c>
      <c r="Q435" s="388">
        <f t="shared" si="206"/>
        <v>7.1303552165999999</v>
      </c>
      <c r="R435" s="388">
        <f t="shared" si="206"/>
        <v>7.0237858613999995</v>
      </c>
      <c r="S435" s="388">
        <f t="shared" si="206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08">B282*0.535</f>
        <v>6.7828752892156867</v>
      </c>
      <c r="C436" s="426">
        <f t="shared" si="208"/>
        <v>6.9735130980392164</v>
      </c>
      <c r="D436" s="437">
        <f t="shared" si="208"/>
        <v>6.8236333725490201</v>
      </c>
      <c r="E436" s="426">
        <f t="shared" si="208"/>
        <v>6.6640491666666675</v>
      </c>
      <c r="F436" s="426">
        <f t="shared" si="208"/>
        <v>6.7435648529411765</v>
      </c>
      <c r="G436" s="426">
        <f t="shared" si="208"/>
        <v>6.8799531372549021</v>
      </c>
      <c r="H436" s="426">
        <f t="shared" si="208"/>
        <v>6.560222450980393</v>
      </c>
      <c r="I436" s="426">
        <f t="shared" si="208"/>
        <v>6.7047353921568629</v>
      </c>
      <c r="J436" s="426">
        <f t="shared" si="208"/>
        <v>6.7429564215686275</v>
      </c>
      <c r="K436" s="426">
        <f t="shared" si="208"/>
        <v>6.8730873039215696</v>
      </c>
      <c r="L436" s="426">
        <f t="shared" si="208"/>
        <v>6.9917733823529415</v>
      </c>
      <c r="M436" s="426">
        <f t="shared" si="208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09">B283*0.465</f>
        <v>4.413131735294118</v>
      </c>
      <c r="C438" s="426">
        <f t="shared" si="209"/>
        <v>4.7413027500000009</v>
      </c>
      <c r="D438" s="437">
        <f t="shared" si="209"/>
        <v>4.8700042647058819</v>
      </c>
      <c r="E438" s="426">
        <f t="shared" si="209"/>
        <v>4.8365379411764708</v>
      </c>
      <c r="F438" s="426">
        <f t="shared" si="209"/>
        <v>4.8296951470588239</v>
      </c>
      <c r="G438" s="426">
        <f t="shared" si="209"/>
        <v>4.9144300000000003</v>
      </c>
      <c r="H438" s="426">
        <f t="shared" si="209"/>
        <v>4.6048722058823532</v>
      </c>
      <c r="I438" s="426">
        <f t="shared" si="209"/>
        <v>4.4468387647058822</v>
      </c>
      <c r="J438" s="426">
        <f t="shared" si="209"/>
        <v>4.4034232647058822</v>
      </c>
      <c r="K438" s="426">
        <f t="shared" si="209"/>
        <v>4.51538569117647</v>
      </c>
      <c r="L438" s="426">
        <f t="shared" si="209"/>
        <v>4.5566024705882358</v>
      </c>
      <c r="M438" s="426">
        <f t="shared" si="209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0">B284*0.516</f>
        <v>6.2967313058823535</v>
      </c>
      <c r="C439" s="438">
        <f t="shared" si="210"/>
        <v>6.4350648352941189</v>
      </c>
      <c r="D439" s="439">
        <f t="shared" si="210"/>
        <v>6.3706680352941181</v>
      </c>
      <c r="E439" s="438">
        <f t="shared" si="210"/>
        <v>6.2968795294117639</v>
      </c>
      <c r="F439" s="438">
        <f t="shared" si="210"/>
        <v>6.2700323529411763</v>
      </c>
      <c r="G439" s="438">
        <f t="shared" si="210"/>
        <v>6.3949094117647061</v>
      </c>
      <c r="H439" s="438">
        <f t="shared" si="210"/>
        <v>6.1337729411764705</v>
      </c>
      <c r="I439" s="438">
        <f t="shared" si="210"/>
        <v>6.1266045882352937</v>
      </c>
      <c r="J439" s="438">
        <f t="shared" si="210"/>
        <v>6.1032024705882355</v>
      </c>
      <c r="K439" s="438">
        <f t="shared" si="210"/>
        <v>6.2105152941176467</v>
      </c>
      <c r="L439" s="438">
        <f t="shared" si="210"/>
        <v>6.2702650588235294</v>
      </c>
      <c r="M439" s="438">
        <f t="shared" si="210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11">B288*0.507</f>
        <v>6.0956361470588236</v>
      </c>
      <c r="C443" s="431">
        <f t="shared" si="211"/>
        <v>6.0006531764705882</v>
      </c>
      <c r="D443" s="432">
        <f t="shared" si="211"/>
        <v>6.0301088823529403</v>
      </c>
      <c r="E443" s="431">
        <f t="shared" si="211"/>
        <v>5.943899</v>
      </c>
      <c r="F443" s="431">
        <f t="shared" si="211"/>
        <v>6.0871563235294115</v>
      </c>
      <c r="G443" s="431">
        <f t="shared" si="211"/>
        <v>6.1690268823529406</v>
      </c>
      <c r="H443" s="431">
        <f t="shared" si="211"/>
        <v>5.9334458529411771</v>
      </c>
      <c r="I443" s="431">
        <f t="shared" si="211"/>
        <v>6.017907579411764</v>
      </c>
      <c r="J443" s="431">
        <f t="shared" si="211"/>
        <v>6.0621438264705887</v>
      </c>
      <c r="K443" s="431">
        <f t="shared" si="211"/>
        <v>5.9548636205882355</v>
      </c>
      <c r="L443" s="431">
        <f t="shared" si="211"/>
        <v>6.1433811323529417</v>
      </c>
      <c r="M443" s="433">
        <f t="shared" si="211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12">B289*0.539</f>
        <v>6.8206243686274517</v>
      </c>
      <c r="C444" s="435">
        <f t="shared" si="212"/>
        <v>6.5757630098039215</v>
      </c>
      <c r="D444" s="436">
        <f t="shared" si="212"/>
        <v>6.6891273921568626</v>
      </c>
      <c r="E444" s="435">
        <f t="shared" si="212"/>
        <v>6.5355440980392165</v>
      </c>
      <c r="F444" s="435">
        <f t="shared" si="212"/>
        <v>6.8415745588235302</v>
      </c>
      <c r="G444" s="435">
        <f t="shared" si="212"/>
        <v>6.8440317647058837</v>
      </c>
      <c r="H444" s="435">
        <f t="shared" si="212"/>
        <v>7.0067040784313726</v>
      </c>
      <c r="I444" s="435">
        <f t="shared" si="212"/>
        <v>7.1009910313725495</v>
      </c>
      <c r="J444" s="435">
        <f t="shared" si="212"/>
        <v>7.2362562519607856</v>
      </c>
      <c r="K444" s="435">
        <f t="shared" si="212"/>
        <v>6.7560627372549025</v>
      </c>
      <c r="L444" s="435">
        <f t="shared" si="212"/>
        <v>7.2984621362745097</v>
      </c>
      <c r="M444" s="435">
        <f t="shared" si="212"/>
        <v>7.0729673571436962</v>
      </c>
      <c r="N444" s="370"/>
      <c r="O444" s="416" t="s">
        <v>247</v>
      </c>
      <c r="P444" s="391">
        <f t="shared" ref="P444:S445" si="213">P289*0.539</f>
        <v>6.703299921568628</v>
      </c>
      <c r="Q444" s="391">
        <f t="shared" si="213"/>
        <v>6.7880550294117654</v>
      </c>
      <c r="R444" s="391">
        <f t="shared" si="213"/>
        <v>7.0961022436199066</v>
      </c>
      <c r="S444" s="391">
        <f t="shared" si="213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14">B290*0.539</f>
        <v>7.1357216549019613</v>
      </c>
      <c r="C445" s="426">
        <f t="shared" si="214"/>
        <v>6.9390965686274519</v>
      </c>
      <c r="D445" s="437">
        <f t="shared" si="214"/>
        <v>6.9291620588235299</v>
      </c>
      <c r="E445" s="426">
        <f t="shared" si="214"/>
        <v>6.8283215000000004</v>
      </c>
      <c r="F445" s="426">
        <f t="shared" si="214"/>
        <v>6.9467165490196088</v>
      </c>
      <c r="G445" s="426">
        <f t="shared" si="214"/>
        <v>7.0190535196078425</v>
      </c>
      <c r="H445" s="426">
        <f t="shared" si="214"/>
        <v>6.9007007450980398</v>
      </c>
      <c r="I445" s="426">
        <f t="shared" si="214"/>
        <v>7.0841705323529407</v>
      </c>
      <c r="J445" s="426">
        <f t="shared" si="214"/>
        <v>7.097192138235294</v>
      </c>
      <c r="K445" s="426">
        <f t="shared" si="214"/>
        <v>6.9970929686274514</v>
      </c>
      <c r="L445" s="426">
        <f t="shared" si="214"/>
        <v>7.183639283333334</v>
      </c>
      <c r="M445" s="426">
        <f t="shared" si="214"/>
        <v>7.3310325806691816</v>
      </c>
      <c r="N445" s="370"/>
      <c r="O445" s="387" t="s">
        <v>243</v>
      </c>
      <c r="P445" s="388">
        <f t="shared" si="213"/>
        <v>6.995268823529412</v>
      </c>
      <c r="Q445" s="388">
        <f t="shared" si="213"/>
        <v>6.9424521078431383</v>
      </c>
      <c r="R445" s="388">
        <f t="shared" si="213"/>
        <v>7.030156096262723</v>
      </c>
      <c r="S445" s="388">
        <f t="shared" si="213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15">B291*0.535</f>
        <v>7.0653164754901967</v>
      </c>
      <c r="C446" s="426">
        <f t="shared" si="215"/>
        <v>6.8124697058823536</v>
      </c>
      <c r="D446" s="437">
        <f t="shared" si="215"/>
        <v>6.8257712745098056</v>
      </c>
      <c r="E446" s="426">
        <f t="shared" si="215"/>
        <v>6.7373494117647068</v>
      </c>
      <c r="F446" s="426">
        <f t="shared" si="215"/>
        <v>6.9062363235294129</v>
      </c>
      <c r="G446" s="426">
        <f t="shared" si="215"/>
        <v>6.9757233823529416</v>
      </c>
      <c r="H446" s="426">
        <f t="shared" si="215"/>
        <v>6.8664207843137257</v>
      </c>
      <c r="I446" s="426">
        <f t="shared" si="215"/>
        <v>7.0779267401960784</v>
      </c>
      <c r="J446" s="426">
        <f t="shared" si="215"/>
        <v>7.0828230392156861</v>
      </c>
      <c r="K446" s="426">
        <f t="shared" si="215"/>
        <v>7.0211359656862751</v>
      </c>
      <c r="L446" s="426">
        <f t="shared" si="215"/>
        <v>7.1883517892156865</v>
      </c>
      <c r="M446" s="426">
        <f t="shared" si="215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16">B292*0.54</f>
        <v>0</v>
      </c>
      <c r="C447" s="426">
        <f t="shared" si="216"/>
        <v>0</v>
      </c>
      <c r="D447" s="437">
        <f t="shared" si="216"/>
        <v>6.5985882352941188</v>
      </c>
      <c r="E447" s="426">
        <f t="shared" si="216"/>
        <v>6.2081841176470585</v>
      </c>
      <c r="F447" s="426">
        <f t="shared" si="216"/>
        <v>0</v>
      </c>
      <c r="G447" s="426">
        <f t="shared" si="216"/>
        <v>5.4227647058823534</v>
      </c>
      <c r="H447" s="426">
        <f t="shared" si="216"/>
        <v>5.8945500000000006</v>
      </c>
      <c r="I447" s="426">
        <f t="shared" si="216"/>
        <v>6.443829</v>
      </c>
      <c r="J447" s="426">
        <f t="shared" si="216"/>
        <v>5.7598305882352951</v>
      </c>
      <c r="K447" s="426">
        <f t="shared" si="216"/>
        <v>4.1558823529411768</v>
      </c>
      <c r="L447" s="426">
        <f t="shared" si="216"/>
        <v>0</v>
      </c>
      <c r="M447" s="426">
        <f t="shared" si="216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17">B293*0.465</f>
        <v>4.5821574117647055</v>
      </c>
      <c r="C448" s="426">
        <f t="shared" si="217"/>
        <v>4.6392138235294116</v>
      </c>
      <c r="D448" s="437">
        <f t="shared" si="217"/>
        <v>4.6718230882352945</v>
      </c>
      <c r="E448" s="426">
        <f t="shared" si="217"/>
        <v>4.6376501470588236</v>
      </c>
      <c r="F448" s="426">
        <f t="shared" si="217"/>
        <v>4.651723235294118</v>
      </c>
      <c r="G448" s="426">
        <f t="shared" si="217"/>
        <v>4.7864045588235289</v>
      </c>
      <c r="H448" s="426">
        <f t="shared" si="217"/>
        <v>4.5551509411764703</v>
      </c>
      <c r="I448" s="426">
        <f t="shared" si="217"/>
        <v>4.4960134264705882</v>
      </c>
      <c r="J448" s="426">
        <f t="shared" si="217"/>
        <v>4.5590204705882353</v>
      </c>
      <c r="K448" s="426">
        <f t="shared" si="217"/>
        <v>4.5080719705882366</v>
      </c>
      <c r="L448" s="426">
        <f t="shared" si="217"/>
        <v>4.6098645735294115</v>
      </c>
      <c r="M448" s="426">
        <f t="shared" si="217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18">B294*0.516</f>
        <v>6.2910345647058818</v>
      </c>
      <c r="C449" s="438">
        <f t="shared" si="218"/>
        <v>6.2487549411764709</v>
      </c>
      <c r="D449" s="439">
        <f t="shared" si="218"/>
        <v>6.242067176470588</v>
      </c>
      <c r="E449" s="438">
        <f t="shared" si="218"/>
        <v>6.1866680000000001</v>
      </c>
      <c r="F449" s="438">
        <f t="shared" si="218"/>
        <v>6.2521089411764708</v>
      </c>
      <c r="G449" s="438">
        <f t="shared" si="218"/>
        <v>6.3373298823529423</v>
      </c>
      <c r="H449" s="438">
        <f t="shared" si="218"/>
        <v>6.2028359999999996</v>
      </c>
      <c r="I449" s="438">
        <f t="shared" si="218"/>
        <v>6.2791412705882346</v>
      </c>
      <c r="J449" s="438">
        <f t="shared" si="218"/>
        <v>6.2947209294117643</v>
      </c>
      <c r="K449" s="438">
        <f t="shared" si="218"/>
        <v>6.2529011529411767</v>
      </c>
      <c r="L449" s="438">
        <f t="shared" si="218"/>
        <v>6.3565867999999996</v>
      </c>
      <c r="M449" s="438">
        <f t="shared" si="218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19">B298*0.507</f>
        <v>6.3757343467059062</v>
      </c>
      <c r="C453" s="431">
        <f t="shared" si="219"/>
        <v>6.3392273468395119</v>
      </c>
      <c r="D453" s="432">
        <f t="shared" si="219"/>
        <v>6.2723321784795028</v>
      </c>
      <c r="E453" s="431">
        <f t="shared" si="219"/>
        <v>6.1314847971813577</v>
      </c>
      <c r="F453" s="431">
        <f t="shared" si="219"/>
        <v>6.3007473439470747</v>
      </c>
      <c r="G453" s="431">
        <f t="shared" si="219"/>
        <v>6.2963271885737031</v>
      </c>
      <c r="H453" s="431">
        <f t="shared" si="219"/>
        <v>6.2056090091467491</v>
      </c>
      <c r="I453" s="431">
        <f t="shared" si="219"/>
        <v>6.3769514932866009</v>
      </c>
      <c r="J453" s="431">
        <f t="shared" si="219"/>
        <v>6.4801798565347033</v>
      </c>
      <c r="K453" s="431">
        <f t="shared" si="219"/>
        <v>6.5777367493489489</v>
      </c>
      <c r="L453" s="431">
        <f t="shared" si="219"/>
        <v>6.6936790917504041</v>
      </c>
      <c r="M453" s="433">
        <f t="shared" si="219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0">B299*0.539</f>
        <v>6.7957457316612278</v>
      </c>
      <c r="C454" s="435">
        <f t="shared" si="220"/>
        <v>6.8539480097445251</v>
      </c>
      <c r="D454" s="436">
        <f t="shared" si="220"/>
        <v>6.6704057547728155</v>
      </c>
      <c r="E454" s="435">
        <f t="shared" si="220"/>
        <v>6.4915063453984798</v>
      </c>
      <c r="F454" s="435">
        <f t="shared" si="220"/>
        <v>6.6550829379602572</v>
      </c>
      <c r="G454" s="435">
        <f t="shared" si="220"/>
        <v>6.5138897607760402</v>
      </c>
      <c r="H454" s="435">
        <f t="shared" si="220"/>
        <v>6.8701608631322753</v>
      </c>
      <c r="I454" s="435">
        <f t="shared" si="220"/>
        <v>7.0794587658490657</v>
      </c>
      <c r="J454" s="435">
        <f t="shared" si="220"/>
        <v>6.7656061783264132</v>
      </c>
      <c r="K454" s="435">
        <f t="shared" si="220"/>
        <v>7.0534951683483795</v>
      </c>
      <c r="L454" s="435">
        <f t="shared" si="220"/>
        <v>7.2588913372950152</v>
      </c>
      <c r="M454" s="435">
        <f t="shared" si="220"/>
        <v>7.3796305800162969</v>
      </c>
      <c r="N454" s="370"/>
      <c r="O454" s="416" t="s">
        <v>247</v>
      </c>
      <c r="P454" s="391">
        <f t="shared" ref="P454:S455" si="221">P299*0.539</f>
        <v>6.775939891230867</v>
      </c>
      <c r="Q454" s="391">
        <f t="shared" si="221"/>
        <v>6.5965527015325645</v>
      </c>
      <c r="R454" s="391">
        <f t="shared" si="221"/>
        <v>6.9233973184362698</v>
      </c>
      <c r="S454" s="391">
        <f t="shared" si="221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22">B300*0.539</f>
        <v>7.3201340834890942</v>
      </c>
      <c r="C455" s="426">
        <f t="shared" si="222"/>
        <v>7.2241010975875675</v>
      </c>
      <c r="D455" s="437">
        <f t="shared" si="222"/>
        <v>7.0821994797961763</v>
      </c>
      <c r="E455" s="426">
        <f t="shared" si="222"/>
        <v>6.9260655906473243</v>
      </c>
      <c r="F455" s="426">
        <f t="shared" si="222"/>
        <v>7.06439608177533</v>
      </c>
      <c r="G455" s="426">
        <f t="shared" si="222"/>
        <v>7.0164933193182186</v>
      </c>
      <c r="H455" s="426">
        <f t="shared" si="222"/>
        <v>7.0068248130795956</v>
      </c>
      <c r="I455" s="426">
        <f t="shared" si="222"/>
        <v>7.2679714181448078</v>
      </c>
      <c r="J455" s="426">
        <f t="shared" si="222"/>
        <v>7.370328437438884</v>
      </c>
      <c r="K455" s="426">
        <f t="shared" si="222"/>
        <v>7.5316019742958185</v>
      </c>
      <c r="L455" s="426">
        <f t="shared" si="222"/>
        <v>7.6792531572540241</v>
      </c>
      <c r="M455" s="426">
        <f t="shared" si="222"/>
        <v>7.6318801408568415</v>
      </c>
      <c r="N455" s="370"/>
      <c r="O455" s="387" t="s">
        <v>243</v>
      </c>
      <c r="P455" s="388">
        <f t="shared" si="221"/>
        <v>7.1945413578334279</v>
      </c>
      <c r="Q455" s="388">
        <f t="shared" si="221"/>
        <v>7.0476395716859148</v>
      </c>
      <c r="R455" s="388">
        <f t="shared" si="221"/>
        <v>7.215826808263694</v>
      </c>
      <c r="S455" s="388">
        <f t="shared" si="221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23">B301*0.535</f>
        <v>7.2602228956775408</v>
      </c>
      <c r="C456" s="426">
        <f t="shared" si="223"/>
        <v>7.139612189575864</v>
      </c>
      <c r="D456" s="437">
        <f t="shared" si="223"/>
        <v>6.9836800457803427</v>
      </c>
      <c r="E456" s="426">
        <f t="shared" si="223"/>
        <v>6.8328853052791869</v>
      </c>
      <c r="F456" s="426">
        <f t="shared" si="223"/>
        <v>6.9441120536442504</v>
      </c>
      <c r="G456" s="426">
        <f t="shared" si="223"/>
        <v>6.8863884263083044</v>
      </c>
      <c r="H456" s="426">
        <f t="shared" si="223"/>
        <v>6.8863366734697022</v>
      </c>
      <c r="I456" s="426">
        <f t="shared" si="223"/>
        <v>7.1420598405818305</v>
      </c>
      <c r="J456" s="426">
        <f t="shared" si="223"/>
        <v>7.2451899701938007</v>
      </c>
      <c r="K456" s="426">
        <f t="shared" si="223"/>
        <v>7.4089761627556276</v>
      </c>
      <c r="L456" s="426">
        <f t="shared" si="223"/>
        <v>7.5315482938243044</v>
      </c>
      <c r="M456" s="426">
        <f t="shared" si="223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24">B302*0.54</f>
        <v>7.8331764705882359</v>
      </c>
      <c r="C457" s="426">
        <f t="shared" si="224"/>
        <v>0</v>
      </c>
      <c r="D457" s="437">
        <f t="shared" si="224"/>
        <v>6.6578267973856198</v>
      </c>
      <c r="E457" s="426">
        <f t="shared" si="224"/>
        <v>0</v>
      </c>
      <c r="F457" s="426">
        <f t="shared" si="224"/>
        <v>6.999882352941178</v>
      </c>
      <c r="G457" s="426">
        <f t="shared" si="224"/>
        <v>7.4513414634146358</v>
      </c>
      <c r="H457" s="426">
        <f t="shared" si="224"/>
        <v>0</v>
      </c>
      <c r="I457" s="426">
        <f t="shared" si="224"/>
        <v>0</v>
      </c>
      <c r="J457" s="426">
        <f t="shared" si="224"/>
        <v>0</v>
      </c>
      <c r="K457" s="426">
        <f t="shared" si="224"/>
        <v>6.5486911764705882</v>
      </c>
      <c r="L457" s="426">
        <f t="shared" si="224"/>
        <v>0</v>
      </c>
      <c r="M457" s="426">
        <f t="shared" si="224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25">B303*0.465</f>
        <v>4.8059290643822017</v>
      </c>
      <c r="C458" s="426">
        <f t="shared" si="225"/>
        <v>4.8750839484785944</v>
      </c>
      <c r="D458" s="437">
        <f t="shared" si="225"/>
        <v>4.9389772649635288</v>
      </c>
      <c r="E458" s="426">
        <f t="shared" si="225"/>
        <v>4.8843628631874791</v>
      </c>
      <c r="F458" s="426">
        <f t="shared" si="225"/>
        <v>5.0224709916228365</v>
      </c>
      <c r="G458" s="426">
        <f t="shared" si="225"/>
        <v>5.1095977225464519</v>
      </c>
      <c r="H458" s="426">
        <f t="shared" si="225"/>
        <v>4.990275926428664</v>
      </c>
      <c r="I458" s="426">
        <f t="shared" si="225"/>
        <v>5.0309127381216845</v>
      </c>
      <c r="J458" s="426">
        <f t="shared" si="225"/>
        <v>5.1982716925900414</v>
      </c>
      <c r="K458" s="426">
        <f t="shared" si="225"/>
        <v>5.3061627023498579</v>
      </c>
      <c r="L458" s="426">
        <f t="shared" si="225"/>
        <v>5.3768916561279125</v>
      </c>
      <c r="M458" s="426">
        <f t="shared" si="225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26">B304*0.516</f>
        <v>6.5195491255421496</v>
      </c>
      <c r="C459" s="438">
        <f t="shared" si="226"/>
        <v>6.5268942578256235</v>
      </c>
      <c r="D459" s="439">
        <f t="shared" si="226"/>
        <v>6.4942316067159771</v>
      </c>
      <c r="E459" s="438">
        <f t="shared" si="226"/>
        <v>6.3250191512222891</v>
      </c>
      <c r="F459" s="438">
        <f t="shared" si="226"/>
        <v>6.495390157051192</v>
      </c>
      <c r="G459" s="438">
        <f t="shared" si="226"/>
        <v>6.5309354230328038</v>
      </c>
      <c r="H459" s="438">
        <f t="shared" si="226"/>
        <v>6.4558257601049505</v>
      </c>
      <c r="I459" s="438">
        <f t="shared" si="226"/>
        <v>6.5553685198349303</v>
      </c>
      <c r="J459" s="438">
        <f t="shared" si="226"/>
        <v>6.6053586678251586</v>
      </c>
      <c r="K459" s="438">
        <f t="shared" si="226"/>
        <v>6.7086718150743181</v>
      </c>
      <c r="L459" s="438">
        <f t="shared" si="226"/>
        <v>6.7802737076557351</v>
      </c>
      <c r="M459" s="438">
        <f t="shared" si="226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27">C308*0.518</f>
        <v>6.8727735934073451</v>
      </c>
      <c r="D464" s="432">
        <f t="shared" si="227"/>
        <v>6.8463987427915418</v>
      </c>
      <c r="E464" s="431">
        <f t="shared" si="227"/>
        <v>6.863979760543887</v>
      </c>
      <c r="F464" s="431">
        <f t="shared" si="227"/>
        <v>6.8792493818730485</v>
      </c>
      <c r="G464" s="431">
        <f t="shared" si="227"/>
        <v>6.8491745558618478</v>
      </c>
      <c r="H464" s="431">
        <f t="shared" si="227"/>
        <v>6.6998408493917854</v>
      </c>
      <c r="I464" s="431">
        <f t="shared" si="227"/>
        <v>6.7583664385116364</v>
      </c>
      <c r="J464" s="431">
        <f t="shared" si="227"/>
        <v>6.7134042219353232</v>
      </c>
      <c r="K464" s="431">
        <f t="shared" si="227"/>
        <v>6.7467487348204545</v>
      </c>
      <c r="L464" s="431">
        <f t="shared" si="227"/>
        <v>6.646571081000137</v>
      </c>
      <c r="M464" s="433">
        <f t="shared" si="227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28">Q308*0.518</f>
        <v>6.8635923848100955</v>
      </c>
      <c r="R464" s="385">
        <f t="shared" si="228"/>
        <v>6.7250527077031075</v>
      </c>
      <c r="S464" s="385">
        <f t="shared" si="228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26">
      <c r="A465" s="424" t="s">
        <v>247</v>
      </c>
      <c r="B465" s="434">
        <f>B309*0.539</f>
        <v>7.1487559262081026</v>
      </c>
      <c r="C465" s="435">
        <f t="shared" ref="C465:M465" si="229">C309*0.539</f>
        <v>7.1266026720967215</v>
      </c>
      <c r="D465" s="436">
        <f t="shared" si="229"/>
        <v>7.0925249307626146</v>
      </c>
      <c r="E465" s="435">
        <f t="shared" si="229"/>
        <v>7.3169613222711547</v>
      </c>
      <c r="F465" s="435">
        <f t="shared" si="229"/>
        <v>7.1750694836458573</v>
      </c>
      <c r="G465" s="435">
        <f t="shared" si="229"/>
        <v>7.0787165146129363</v>
      </c>
      <c r="H465" s="435">
        <f t="shared" si="229"/>
        <v>6.7786348614730922</v>
      </c>
      <c r="I465" s="435">
        <f t="shared" si="229"/>
        <v>7.2410640317626092</v>
      </c>
      <c r="J465" s="435">
        <f t="shared" si="229"/>
        <v>7.1003677772543101</v>
      </c>
      <c r="K465" s="435">
        <f t="shared" si="229"/>
        <v>7.2968264822968605</v>
      </c>
      <c r="L465" s="435">
        <f t="shared" si="229"/>
        <v>6.9340442072981556</v>
      </c>
      <c r="M465" s="435">
        <f t="shared" si="229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0">Q309*0.539</f>
        <v>7.2109807006816258</v>
      </c>
      <c r="R465" s="391">
        <f t="shared" si="230"/>
        <v>7.074471543224357</v>
      </c>
      <c r="S465" s="391">
        <f t="shared" si="230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26">
      <c r="A466" s="427" t="s">
        <v>243</v>
      </c>
      <c r="B466" s="425">
        <f>B310*0.533</f>
        <v>7.5052399608405969</v>
      </c>
      <c r="C466" s="426">
        <f t="shared" ref="C466:M466" si="231">C310*0.533</f>
        <v>7.4723608245158122</v>
      </c>
      <c r="D466" s="437">
        <f t="shared" si="231"/>
        <v>7.4113664477804253</v>
      </c>
      <c r="E466" s="426">
        <f t="shared" si="231"/>
        <v>7.4289848899835347</v>
      </c>
      <c r="F466" s="426">
        <f t="shared" si="231"/>
        <v>7.4180227241459775</v>
      </c>
      <c r="G466" s="426">
        <f t="shared" si="231"/>
        <v>7.3906700612614609</v>
      </c>
      <c r="H466" s="426">
        <f t="shared" si="231"/>
        <v>7.3205952103034919</v>
      </c>
      <c r="I466" s="426">
        <f t="shared" si="231"/>
        <v>7.4649776075804564</v>
      </c>
      <c r="J466" s="426">
        <f t="shared" si="231"/>
        <v>7.4082369647902047</v>
      </c>
      <c r="K466" s="426">
        <f t="shared" si="231"/>
        <v>7.462466155843912</v>
      </c>
      <c r="L466" s="426">
        <f t="shared" si="231"/>
        <v>7.3900829997120772</v>
      </c>
      <c r="M466" s="426">
        <f t="shared" si="231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32">Q310*0.533</f>
        <v>7.4119634653662834</v>
      </c>
      <c r="R466" s="388">
        <f t="shared" si="232"/>
        <v>7.4004940677809676</v>
      </c>
      <c r="S466" s="388">
        <f t="shared" si="232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26">
      <c r="A467" s="427" t="s">
        <v>244</v>
      </c>
      <c r="B467" s="425">
        <f>B311*0.533</f>
        <v>7.4176213311549741</v>
      </c>
      <c r="C467" s="426">
        <f t="shared" ref="C467:M467" si="233">C311*0.533</f>
        <v>7.4110290540404922</v>
      </c>
      <c r="D467" s="437">
        <f t="shared" si="233"/>
        <v>7.3556207581652826</v>
      </c>
      <c r="E467" s="426">
        <f t="shared" si="233"/>
        <v>7.3866609115305861</v>
      </c>
      <c r="F467" s="426">
        <f t="shared" si="233"/>
        <v>7.3673829590192046</v>
      </c>
      <c r="G467" s="426">
        <f t="shared" si="233"/>
        <v>7.3392854188679566</v>
      </c>
      <c r="H467" s="426">
        <f t="shared" si="233"/>
        <v>7.2708168673237914</v>
      </c>
      <c r="I467" s="426">
        <f t="shared" si="233"/>
        <v>7.4377867457012057</v>
      </c>
      <c r="J467" s="426">
        <f t="shared" si="233"/>
        <v>7.336660260801267</v>
      </c>
      <c r="K467" s="426">
        <f t="shared" si="233"/>
        <v>7.4003797265997777</v>
      </c>
      <c r="L467" s="426">
        <f t="shared" si="233"/>
        <v>7.3069648656792152</v>
      </c>
      <c r="M467" s="426">
        <f t="shared" si="233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34">Q311*0.533</f>
        <v>7.3649664475373742</v>
      </c>
      <c r="R467" s="388">
        <f t="shared" si="234"/>
        <v>7.3536500742343254</v>
      </c>
      <c r="S467" s="388">
        <f t="shared" si="234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26">
      <c r="A468" s="427" t="s">
        <v>245</v>
      </c>
      <c r="B468" s="425">
        <f>B312*0.521</f>
        <v>0</v>
      </c>
      <c r="C468" s="426">
        <f t="shared" ref="C468:L468" si="235">C312*0.521</f>
        <v>5.9605311470588243</v>
      </c>
      <c r="D468" s="437">
        <f t="shared" si="235"/>
        <v>0</v>
      </c>
      <c r="E468" s="426">
        <f t="shared" si="235"/>
        <v>7.1058423823529413</v>
      </c>
      <c r="F468" s="426">
        <f t="shared" si="235"/>
        <v>0</v>
      </c>
      <c r="G468" s="426">
        <f t="shared" si="235"/>
        <v>0</v>
      </c>
      <c r="H468" s="426">
        <f t="shared" si="235"/>
        <v>5.2484620588235291</v>
      </c>
      <c r="I468" s="426">
        <f t="shared" si="235"/>
        <v>5.3161322240896345</v>
      </c>
      <c r="J468" s="426">
        <f t="shared" si="235"/>
        <v>0</v>
      </c>
      <c r="K468" s="426">
        <f t="shared" si="235"/>
        <v>0</v>
      </c>
      <c r="L468" s="426">
        <f t="shared" si="235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36">Q312*0.521</f>
        <v>7.1058423823529413</v>
      </c>
      <c r="R468" s="388">
        <f t="shared" si="236"/>
        <v>5.2947295671682628</v>
      </c>
      <c r="S468" s="388">
        <f t="shared" si="236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26">
      <c r="A469" s="427" t="s">
        <v>98</v>
      </c>
      <c r="B469" s="425">
        <f>B313*0.487</f>
        <v>5.6005544820905744</v>
      </c>
      <c r="C469" s="426">
        <f t="shared" ref="C469:L469" si="237">C313*0.487</f>
        <v>5.6570146927839842</v>
      </c>
      <c r="D469" s="437">
        <f t="shared" si="237"/>
        <v>5.7270930609124679</v>
      </c>
      <c r="E469" s="426">
        <f t="shared" si="237"/>
        <v>5.7360344011283004</v>
      </c>
      <c r="F469" s="426">
        <f t="shared" si="237"/>
        <v>5.7301981209404103</v>
      </c>
      <c r="G469" s="426">
        <f t="shared" si="237"/>
        <v>5.7248761237753572</v>
      </c>
      <c r="H469" s="426">
        <f t="shared" si="237"/>
        <v>5.5729577003327462</v>
      </c>
      <c r="I469" s="426">
        <f t="shared" si="237"/>
        <v>5.4655996271910441</v>
      </c>
      <c r="J469" s="426">
        <f t="shared" si="237"/>
        <v>5.5169179319816788</v>
      </c>
      <c r="K469" s="426">
        <f t="shared" si="237"/>
        <v>5.5344417104783492</v>
      </c>
      <c r="L469" s="426">
        <f t="shared" si="237"/>
        <v>5.3459454372529045</v>
      </c>
      <c r="M469" s="426">
        <f>M312*0.521</f>
        <v>5.6599297715250296</v>
      </c>
      <c r="N469" s="370"/>
      <c r="O469" s="387" t="s">
        <v>98</v>
      </c>
      <c r="P469" s="388">
        <f>P313*0.487</f>
        <v>5.6597914805114611</v>
      </c>
      <c r="Q469" s="388">
        <f t="shared" ref="Q469:S469" si="238">Q313*0.487</f>
        <v>5.7303638639409451</v>
      </c>
      <c r="R469" s="388">
        <f t="shared" si="238"/>
        <v>5.5171067540495864</v>
      </c>
      <c r="S469" s="388">
        <f t="shared" si="238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26" ht="13.5" thickBot="1">
      <c r="A470" s="428" t="s">
        <v>246</v>
      </c>
      <c r="B470" s="429">
        <f>B314*0.518</f>
        <v>6.8383878076779316</v>
      </c>
      <c r="C470" s="438">
        <f t="shared" ref="C470:L470" si="239">C314*0.518</f>
        <v>6.8668396764752355</v>
      </c>
      <c r="D470" s="439">
        <f t="shared" si="239"/>
        <v>6.8672994048314582</v>
      </c>
      <c r="E470" s="438">
        <f t="shared" si="239"/>
        <v>6.8856473797276614</v>
      </c>
      <c r="F470" s="438">
        <f t="shared" si="239"/>
        <v>6.8961550947248309</v>
      </c>
      <c r="G470" s="438">
        <f t="shared" si="239"/>
        <v>6.8898222581055846</v>
      </c>
      <c r="H470" s="438">
        <f t="shared" si="239"/>
        <v>6.7949048424751295</v>
      </c>
      <c r="I470" s="438">
        <f t="shared" si="239"/>
        <v>6.8318823425954776</v>
      </c>
      <c r="J470" s="438">
        <f t="shared" si="239"/>
        <v>6.8223887325761989</v>
      </c>
      <c r="K470" s="438">
        <f t="shared" si="239"/>
        <v>6.8943605517339224</v>
      </c>
      <c r="L470" s="438">
        <f t="shared" si="239"/>
        <v>6.8527689994562069</v>
      </c>
      <c r="M470" s="426">
        <f>M313*0.487</f>
        <v>6.4828101831403888</v>
      </c>
      <c r="N470" s="370"/>
      <c r="O470" s="395" t="s">
        <v>246</v>
      </c>
      <c r="P470" s="396">
        <f>P314*0.518</f>
        <v>6.8571488028799035</v>
      </c>
      <c r="Q470" s="396">
        <f t="shared" ref="Q470:S470" si="240">Q314*0.518</f>
        <v>6.8905082274033882</v>
      </c>
      <c r="R470" s="396">
        <f t="shared" si="240"/>
        <v>6.815721069188247</v>
      </c>
      <c r="S470" s="396">
        <f t="shared" si="240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</row>
    <row r="472" spans="1:26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</row>
    <row r="473" spans="1:26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</row>
    <row r="474" spans="1:26" ht="13.5" thickBot="1">
      <c r="A474" s="409" t="s">
        <v>242</v>
      </c>
      <c r="B474" s="431">
        <f>B318*0.518</f>
        <v>6.6512236785150636</v>
      </c>
      <c r="C474" s="431">
        <f t="shared" ref="C474:M474" si="241">C318*0.518</f>
        <v>0</v>
      </c>
      <c r="D474" s="432">
        <f t="shared" si="241"/>
        <v>0</v>
      </c>
      <c r="E474" s="431">
        <f t="shared" si="241"/>
        <v>0</v>
      </c>
      <c r="F474" s="431">
        <f t="shared" si="241"/>
        <v>0</v>
      </c>
      <c r="G474" s="431">
        <f t="shared" si="241"/>
        <v>6.8491745558618478</v>
      </c>
      <c r="H474" s="431">
        <f t="shared" si="241"/>
        <v>6.6998408493917854</v>
      </c>
      <c r="I474" s="431">
        <f t="shared" si="241"/>
        <v>0</v>
      </c>
      <c r="J474" s="431">
        <f t="shared" si="241"/>
        <v>0</v>
      </c>
      <c r="K474" s="431">
        <f t="shared" si="241"/>
        <v>0</v>
      </c>
      <c r="L474" s="431">
        <f t="shared" si="241"/>
        <v>0</v>
      </c>
      <c r="M474" s="433">
        <f t="shared" si="241"/>
        <v>0</v>
      </c>
      <c r="N474" s="370"/>
      <c r="O474" s="412" t="s">
        <v>242</v>
      </c>
      <c r="P474" s="385">
        <f>P318*0.518</f>
        <v>0</v>
      </c>
      <c r="Q474" s="385">
        <f t="shared" ref="Q474:S474" si="242">Q318*0.518</f>
        <v>0</v>
      </c>
      <c r="R474" s="385">
        <f t="shared" si="242"/>
        <v>0</v>
      </c>
      <c r="S474" s="385">
        <f t="shared" si="242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</row>
    <row r="475" spans="1:26">
      <c r="A475" s="424" t="s">
        <v>247</v>
      </c>
      <c r="B475" s="434">
        <f>B319*0.539</f>
        <v>6.8633878007173008</v>
      </c>
      <c r="C475" s="435">
        <f t="shared" ref="C475:M475" si="243">C319*0.539</f>
        <v>0</v>
      </c>
      <c r="D475" s="436">
        <f t="shared" si="243"/>
        <v>0</v>
      </c>
      <c r="E475" s="435">
        <f t="shared" si="243"/>
        <v>0</v>
      </c>
      <c r="F475" s="435">
        <f t="shared" si="243"/>
        <v>0</v>
      </c>
      <c r="G475" s="435">
        <f t="shared" si="243"/>
        <v>7.0787165146129363</v>
      </c>
      <c r="H475" s="435">
        <f t="shared" si="243"/>
        <v>6.7786348614730922</v>
      </c>
      <c r="I475" s="435">
        <f t="shared" si="243"/>
        <v>0</v>
      </c>
      <c r="J475" s="435">
        <f t="shared" si="243"/>
        <v>0</v>
      </c>
      <c r="K475" s="435">
        <f t="shared" si="243"/>
        <v>0</v>
      </c>
      <c r="L475" s="435">
        <f t="shared" si="243"/>
        <v>0</v>
      </c>
      <c r="M475" s="435">
        <f t="shared" si="243"/>
        <v>0</v>
      </c>
      <c r="N475" s="370"/>
      <c r="O475" s="416" t="s">
        <v>247</v>
      </c>
      <c r="P475" s="391">
        <f>P319*0.539</f>
        <v>0</v>
      </c>
      <c r="Q475" s="391">
        <f t="shared" ref="Q475:S475" si="244">Q319*0.539</f>
        <v>0</v>
      </c>
      <c r="R475" s="391">
        <f t="shared" si="244"/>
        <v>0</v>
      </c>
      <c r="S475" s="391">
        <f t="shared" si="244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</row>
    <row r="476" spans="1:26">
      <c r="A476" s="427" t="s">
        <v>243</v>
      </c>
      <c r="B476" s="425">
        <f>B320*0.533</f>
        <v>7.3317502396178824</v>
      </c>
      <c r="C476" s="426">
        <f t="shared" ref="C476:M476" si="245">C320*0.533</f>
        <v>0</v>
      </c>
      <c r="D476" s="437">
        <f t="shared" si="245"/>
        <v>0</v>
      </c>
      <c r="E476" s="426">
        <f t="shared" si="245"/>
        <v>0</v>
      </c>
      <c r="F476" s="426">
        <f t="shared" si="245"/>
        <v>0</v>
      </c>
      <c r="G476" s="426">
        <f t="shared" si="245"/>
        <v>7.3906700612614609</v>
      </c>
      <c r="H476" s="426">
        <f t="shared" si="245"/>
        <v>7.3205952103034919</v>
      </c>
      <c r="I476" s="426">
        <f t="shared" si="245"/>
        <v>0</v>
      </c>
      <c r="J476" s="426">
        <f t="shared" si="245"/>
        <v>0</v>
      </c>
      <c r="K476" s="426">
        <f t="shared" si="245"/>
        <v>0</v>
      </c>
      <c r="L476" s="426">
        <f t="shared" si="245"/>
        <v>0</v>
      </c>
      <c r="M476" s="426">
        <f t="shared" si="245"/>
        <v>0</v>
      </c>
      <c r="N476" s="370"/>
      <c r="O476" s="387" t="s">
        <v>243</v>
      </c>
      <c r="P476" s="388">
        <f>P320*0.533</f>
        <v>0</v>
      </c>
      <c r="Q476" s="388">
        <f t="shared" ref="Q476:S476" si="246">Q320*0.533</f>
        <v>0</v>
      </c>
      <c r="R476" s="388">
        <f t="shared" si="246"/>
        <v>0</v>
      </c>
      <c r="S476" s="388">
        <f t="shared" si="246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</row>
    <row r="477" spans="1:26">
      <c r="A477" s="427" t="s">
        <v>244</v>
      </c>
      <c r="B477" s="425">
        <f>B321*0.533</f>
        <v>7.2505074634497442</v>
      </c>
      <c r="C477" s="426">
        <f t="shared" ref="C477:M477" si="247">C321*0.533</f>
        <v>0</v>
      </c>
      <c r="D477" s="437">
        <f t="shared" si="247"/>
        <v>0</v>
      </c>
      <c r="E477" s="426">
        <f t="shared" si="247"/>
        <v>0</v>
      </c>
      <c r="F477" s="426">
        <f t="shared" si="247"/>
        <v>0</v>
      </c>
      <c r="G477" s="426">
        <f t="shared" si="247"/>
        <v>7.3392854188679566</v>
      </c>
      <c r="H477" s="426">
        <f t="shared" si="247"/>
        <v>7.2708168673237914</v>
      </c>
      <c r="I477" s="426">
        <f t="shared" si="247"/>
        <v>0</v>
      </c>
      <c r="J477" s="426">
        <f t="shared" si="247"/>
        <v>0</v>
      </c>
      <c r="K477" s="426">
        <f t="shared" si="247"/>
        <v>0</v>
      </c>
      <c r="L477" s="426">
        <f t="shared" si="247"/>
        <v>0</v>
      </c>
      <c r="M477" s="426">
        <f t="shared" si="247"/>
        <v>0</v>
      </c>
      <c r="N477" s="370"/>
      <c r="O477" s="387" t="s">
        <v>244</v>
      </c>
      <c r="P477" s="388">
        <f>P321*0.533</f>
        <v>0</v>
      </c>
      <c r="Q477" s="388">
        <f t="shared" ref="Q477:S477" si="248">Q321*0.533</f>
        <v>0</v>
      </c>
      <c r="R477" s="388">
        <f t="shared" si="248"/>
        <v>0</v>
      </c>
      <c r="S477" s="388">
        <f t="shared" si="248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</row>
    <row r="478" spans="1:26">
      <c r="A478" s="427" t="s">
        <v>245</v>
      </c>
      <c r="B478" s="425"/>
      <c r="C478" s="426">
        <f t="shared" ref="C478:M478" si="249">C322*0.521</f>
        <v>0</v>
      </c>
      <c r="D478" s="437">
        <f t="shared" si="249"/>
        <v>0</v>
      </c>
      <c r="E478" s="426">
        <f t="shared" si="249"/>
        <v>0</v>
      </c>
      <c r="F478" s="426">
        <f t="shared" si="249"/>
        <v>0</v>
      </c>
      <c r="G478" s="426">
        <f t="shared" si="249"/>
        <v>0</v>
      </c>
      <c r="H478" s="426">
        <f t="shared" si="249"/>
        <v>5.2484620588235291</v>
      </c>
      <c r="I478" s="426">
        <f t="shared" si="249"/>
        <v>0</v>
      </c>
      <c r="J478" s="426">
        <f t="shared" si="249"/>
        <v>0</v>
      </c>
      <c r="K478" s="426">
        <f t="shared" si="249"/>
        <v>0</v>
      </c>
      <c r="L478" s="426">
        <f t="shared" si="249"/>
        <v>0</v>
      </c>
      <c r="M478" s="426">
        <f t="shared" si="249"/>
        <v>0</v>
      </c>
      <c r="N478" s="370"/>
      <c r="O478" s="387" t="s">
        <v>245</v>
      </c>
      <c r="P478" s="388">
        <f>P322*0.521</f>
        <v>0</v>
      </c>
      <c r="Q478" s="388">
        <f t="shared" ref="Q478:S478" si="250">Q322*0.521</f>
        <v>0</v>
      </c>
      <c r="R478" s="388">
        <f t="shared" si="250"/>
        <v>0</v>
      </c>
      <c r="S478" s="388">
        <f t="shared" si="250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</row>
    <row r="479" spans="1:26">
      <c r="A479" s="427" t="s">
        <v>98</v>
      </c>
      <c r="B479" s="425">
        <f>B323*0.521</f>
        <v>5.6270223307308553</v>
      </c>
      <c r="C479" s="426">
        <f t="shared" ref="C479:M479" si="251">C323*0.487</f>
        <v>0</v>
      </c>
      <c r="D479" s="437">
        <f t="shared" si="251"/>
        <v>0</v>
      </c>
      <c r="E479" s="426">
        <f t="shared" si="251"/>
        <v>0</v>
      </c>
      <c r="F479" s="426">
        <f t="shared" si="251"/>
        <v>0</v>
      </c>
      <c r="G479" s="426">
        <f t="shared" si="251"/>
        <v>5.7248761237753572</v>
      </c>
      <c r="H479" s="426">
        <f t="shared" si="251"/>
        <v>5.5729577003327462</v>
      </c>
      <c r="I479" s="426">
        <f t="shared" si="251"/>
        <v>0</v>
      </c>
      <c r="J479" s="426">
        <f t="shared" si="251"/>
        <v>0</v>
      </c>
      <c r="K479" s="426">
        <f t="shared" si="251"/>
        <v>0</v>
      </c>
      <c r="L479" s="426">
        <f t="shared" si="251"/>
        <v>0</v>
      </c>
      <c r="M479" s="426">
        <f t="shared" si="251"/>
        <v>0</v>
      </c>
      <c r="N479" s="370"/>
      <c r="O479" s="387" t="s">
        <v>98</v>
      </c>
      <c r="P479" s="388">
        <f>P323*0.487</f>
        <v>0</v>
      </c>
      <c r="Q479" s="388">
        <f t="shared" ref="Q479:S479" si="252">Q323*0.487</f>
        <v>0</v>
      </c>
      <c r="R479" s="388">
        <f t="shared" si="252"/>
        <v>0</v>
      </c>
      <c r="S479" s="388">
        <f t="shared" si="252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</row>
    <row r="480" spans="1:26" ht="13.5" thickBot="1">
      <c r="A480" s="428" t="s">
        <v>246</v>
      </c>
      <c r="B480" s="425">
        <f>B324*0.487</f>
        <v>6.4583753873493137</v>
      </c>
      <c r="C480" s="438">
        <f t="shared" ref="C480:M480" si="253">C324*0.518</f>
        <v>0</v>
      </c>
      <c r="D480" s="439">
        <f t="shared" si="253"/>
        <v>0</v>
      </c>
      <c r="E480" s="438">
        <f t="shared" si="253"/>
        <v>0</v>
      </c>
      <c r="F480" s="438">
        <f t="shared" si="253"/>
        <v>0</v>
      </c>
      <c r="G480" s="438">
        <f t="shared" si="253"/>
        <v>6.8898222581055846</v>
      </c>
      <c r="H480" s="438">
        <f t="shared" si="253"/>
        <v>6.7949048424751295</v>
      </c>
      <c r="I480" s="438">
        <f t="shared" si="253"/>
        <v>0</v>
      </c>
      <c r="J480" s="438">
        <f t="shared" si="253"/>
        <v>0</v>
      </c>
      <c r="K480" s="438">
        <f t="shared" si="253"/>
        <v>0</v>
      </c>
      <c r="L480" s="438">
        <f t="shared" si="253"/>
        <v>0</v>
      </c>
      <c r="M480" s="438">
        <f t="shared" si="253"/>
        <v>0</v>
      </c>
      <c r="N480" s="370"/>
      <c r="O480" s="395" t="s">
        <v>246</v>
      </c>
      <c r="P480" s="396">
        <f>P324*0.518</f>
        <v>0</v>
      </c>
      <c r="Q480" s="396">
        <f t="shared" ref="Q480:S480" si="254">Q324*0.518</f>
        <v>0</v>
      </c>
      <c r="R480" s="396">
        <f t="shared" si="254"/>
        <v>0</v>
      </c>
      <c r="S480" s="396">
        <f t="shared" si="254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350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4" t="s">
        <v>88</v>
      </c>
      <c r="B1" s="1154"/>
      <c r="C1" s="1154"/>
      <c r="D1" s="1154"/>
      <c r="E1" s="1154"/>
      <c r="F1" s="1154"/>
      <c r="G1" s="1154"/>
      <c r="H1" s="1154"/>
      <c r="I1" s="1154"/>
      <c r="J1" s="1154"/>
      <c r="K1" s="1154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1"/>
      <c r="B3" s="1160" t="s">
        <v>99</v>
      </c>
      <c r="C3" s="1161"/>
      <c r="D3" s="1161"/>
      <c r="E3" s="1161"/>
      <c r="F3" s="1162"/>
      <c r="G3" s="1156" t="s">
        <v>71</v>
      </c>
      <c r="H3" s="1157"/>
      <c r="I3" s="1163" t="s">
        <v>318</v>
      </c>
      <c r="J3" s="1158" t="s">
        <v>72</v>
      </c>
      <c r="K3" s="1159"/>
      <c r="L3" s="5"/>
    </row>
    <row r="4" spans="1:12" s="122" customFormat="1" ht="31.5">
      <c r="A4" s="822" t="s">
        <v>73</v>
      </c>
      <c r="B4" s="820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64"/>
      <c r="J4" s="124" t="s">
        <v>70</v>
      </c>
      <c r="K4" s="663" t="s">
        <v>81</v>
      </c>
      <c r="L4" s="5"/>
    </row>
    <row r="5" spans="1:12" s="122" customFormat="1" ht="21" customHeight="1" thickBot="1">
      <c r="A5" s="823"/>
      <c r="B5" s="982" t="s">
        <v>381</v>
      </c>
      <c r="C5" s="982" t="s">
        <v>381</v>
      </c>
      <c r="D5" s="982" t="s">
        <v>381</v>
      </c>
      <c r="E5" s="1106" t="s">
        <v>127</v>
      </c>
      <c r="F5" s="1107" t="s">
        <v>79</v>
      </c>
      <c r="G5" s="982" t="s">
        <v>381</v>
      </c>
      <c r="H5" s="819" t="s">
        <v>90</v>
      </c>
      <c r="I5" s="919"/>
      <c r="J5" s="982" t="s">
        <v>381</v>
      </c>
      <c r="K5" s="1093" t="s">
        <v>80</v>
      </c>
      <c r="L5" s="5"/>
    </row>
    <row r="6" spans="1:12" s="122" customFormat="1" ht="28.5" customHeight="1" thickBot="1">
      <c r="A6" s="79" t="s">
        <v>22</v>
      </c>
      <c r="B6" s="802">
        <v>6.3437103756899678</v>
      </c>
      <c r="C6" s="803">
        <v>12246.54512681461</v>
      </c>
      <c r="D6" s="803">
        <v>12491.476029350903</v>
      </c>
      <c r="E6" s="1100">
        <v>1.2262750627442844</v>
      </c>
      <c r="F6" s="1108">
        <v>-8.1690086772265058</v>
      </c>
      <c r="G6" s="804">
        <v>323.08899006622516</v>
      </c>
      <c r="H6" s="1100">
        <v>-1.8817307399158243</v>
      </c>
      <c r="I6" s="804">
        <v>41.131193732389526</v>
      </c>
      <c r="J6" s="805">
        <v>100</v>
      </c>
      <c r="K6" s="1094" t="s">
        <v>23</v>
      </c>
    </row>
    <row r="7" spans="1:12" s="122" customFormat="1" ht="25.5" customHeight="1">
      <c r="A7" s="906" t="s">
        <v>103</v>
      </c>
      <c r="B7" s="1012">
        <v>6.4798492791138411</v>
      </c>
      <c r="C7" s="1013">
        <v>12021.983820248313</v>
      </c>
      <c r="D7" s="1013">
        <v>12262.42349665328</v>
      </c>
      <c r="E7" s="1109">
        <v>-1.9862604941845736</v>
      </c>
      <c r="F7" s="1110">
        <v>-11.152104752652404</v>
      </c>
      <c r="G7" s="806">
        <v>276.68888888888893</v>
      </c>
      <c r="H7" s="1101">
        <v>12.176224154241194</v>
      </c>
      <c r="I7" s="807">
        <v>200</v>
      </c>
      <c r="J7" s="807">
        <v>0.13147643163225556</v>
      </c>
      <c r="K7" s="1095">
        <v>6.9625012485805132E-2</v>
      </c>
    </row>
    <row r="8" spans="1:12" s="122" customFormat="1" ht="24" customHeight="1">
      <c r="A8" s="907" t="s">
        <v>104</v>
      </c>
      <c r="B8" s="1014">
        <v>6.7662031883852487</v>
      </c>
      <c r="C8" s="808">
        <v>12694.565081398214</v>
      </c>
      <c r="D8" s="808">
        <v>12948.456383026178</v>
      </c>
      <c r="E8" s="1111">
        <v>-5.1874327823828517E-3</v>
      </c>
      <c r="F8" s="809">
        <v>-9.5854847448648535</v>
      </c>
      <c r="G8" s="810">
        <v>357.00163934426229</v>
      </c>
      <c r="H8" s="1102">
        <v>-0.47039603589449702</v>
      </c>
      <c r="I8" s="811">
        <v>52.379064234734344</v>
      </c>
      <c r="J8" s="811">
        <v>37.426957537982084</v>
      </c>
      <c r="K8" s="1096">
        <v>2.762673296349206</v>
      </c>
    </row>
    <row r="9" spans="1:12" s="122" customFormat="1" ht="24" customHeight="1">
      <c r="A9" s="907" t="s">
        <v>105</v>
      </c>
      <c r="B9" s="1014">
        <v>6.6793653459557953</v>
      </c>
      <c r="C9" s="808">
        <v>12531.642300104681</v>
      </c>
      <c r="D9" s="808">
        <v>12782.275146106775</v>
      </c>
      <c r="E9" s="1111">
        <v>0.88805074116394545</v>
      </c>
      <c r="F9" s="809">
        <v>-10.382371654491278</v>
      </c>
      <c r="G9" s="812">
        <v>391.45462555066081</v>
      </c>
      <c r="H9" s="1103">
        <v>1.2638767767975227</v>
      </c>
      <c r="I9" s="813">
        <v>10.194174757281553</v>
      </c>
      <c r="J9" s="813">
        <v>8.8430074016361502</v>
      </c>
      <c r="K9" s="1097">
        <v>-2.4826746820694368</v>
      </c>
    </row>
    <row r="10" spans="1:12" s="122" customFormat="1" ht="24" customHeight="1">
      <c r="A10" s="907" t="s">
        <v>106</v>
      </c>
      <c r="B10" s="1058" t="s">
        <v>100</v>
      </c>
      <c r="C10" s="893" t="s">
        <v>100</v>
      </c>
      <c r="D10" s="893" t="s">
        <v>100</v>
      </c>
      <c r="E10" s="1104" t="s">
        <v>100</v>
      </c>
      <c r="F10" s="1112" t="s">
        <v>100</v>
      </c>
      <c r="G10" s="1011" t="s">
        <v>100</v>
      </c>
      <c r="H10" s="1104" t="s">
        <v>100</v>
      </c>
      <c r="I10" s="814" t="s">
        <v>100</v>
      </c>
      <c r="J10" s="886" t="s">
        <v>100</v>
      </c>
      <c r="K10" s="1098" t="s">
        <v>100</v>
      </c>
    </row>
    <row r="11" spans="1:12" s="122" customFormat="1" ht="24" customHeight="1">
      <c r="A11" s="907" t="s">
        <v>98</v>
      </c>
      <c r="B11" s="1014">
        <v>5.1743908241836705</v>
      </c>
      <c r="C11" s="808">
        <v>10625.032493190289</v>
      </c>
      <c r="D11" s="808">
        <v>10837.533143054095</v>
      </c>
      <c r="E11" s="1111">
        <v>0.5288311929392514</v>
      </c>
      <c r="F11" s="809">
        <v>-9.7434902595881976</v>
      </c>
      <c r="G11" s="812">
        <v>284.71476635514017</v>
      </c>
      <c r="H11" s="1103">
        <v>-7.2078549113792887</v>
      </c>
      <c r="I11" s="813">
        <v>29.227053140096622</v>
      </c>
      <c r="J11" s="813">
        <v>28.65699259836385</v>
      </c>
      <c r="K11" s="1097">
        <v>-2.6398254897400619</v>
      </c>
    </row>
    <row r="12" spans="1:12" s="122" customFormat="1" ht="24" customHeight="1" thickBot="1">
      <c r="A12" s="908" t="s">
        <v>107</v>
      </c>
      <c r="B12" s="1015">
        <v>6.7888648203884321</v>
      </c>
      <c r="C12" s="815">
        <v>13105.916641676509</v>
      </c>
      <c r="D12" s="815">
        <v>13368.034974510039</v>
      </c>
      <c r="E12" s="1113">
        <v>0.83754830491258903</v>
      </c>
      <c r="F12" s="816">
        <v>-2.1692491836064502</v>
      </c>
      <c r="G12" s="817">
        <v>292.29642717688398</v>
      </c>
      <c r="H12" s="1105">
        <v>1.8822149386871965</v>
      </c>
      <c r="I12" s="818">
        <v>55.400485436893199</v>
      </c>
      <c r="J12" s="818">
        <v>24.941566030385665</v>
      </c>
      <c r="K12" s="1099">
        <v>2.2902018629744916</v>
      </c>
    </row>
    <row r="13" spans="1:12" s="122" customFormat="1" ht="15">
      <c r="A13" s="1009"/>
      <c r="B13" s="1010"/>
    </row>
    <row r="14" spans="1:12" s="122" customFormat="1" ht="46.5" customHeight="1">
      <c r="A14" s="1155" t="s">
        <v>126</v>
      </c>
      <c r="B14" s="1155"/>
      <c r="C14" s="1155"/>
      <c r="D14" s="1155"/>
      <c r="E14" s="1155"/>
      <c r="F14" s="1155"/>
      <c r="G14" s="1155"/>
      <c r="H14" s="1155"/>
      <c r="I14" s="1155"/>
      <c r="J14" s="1155"/>
      <c r="K14" s="1155"/>
    </row>
    <row r="15" spans="1:12" s="122" customFormat="1" ht="33.75" customHeight="1">
      <c r="A15" s="1155" t="s">
        <v>346</v>
      </c>
      <c r="B15" s="1155"/>
      <c r="C15" s="1155"/>
      <c r="D15" s="1155"/>
      <c r="E15" s="1155"/>
      <c r="F15" s="1155"/>
      <c r="G15" s="1155"/>
      <c r="H15" s="1155"/>
      <c r="I15" s="1155"/>
      <c r="J15" s="1155"/>
      <c r="K15" s="1155"/>
    </row>
    <row r="16" spans="1:12" s="122" customFormat="1">
      <c r="A16" s="1155" t="s">
        <v>171</v>
      </c>
      <c r="B16" s="1155"/>
      <c r="C16" s="1155"/>
      <c r="D16" s="1155"/>
      <c r="E16" s="1155"/>
      <c r="F16" s="1155"/>
      <c r="G16" s="1155"/>
      <c r="H16" s="1155"/>
      <c r="I16" s="1155"/>
      <c r="J16" s="1155"/>
      <c r="K16" s="1155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89"/>
  <sheetViews>
    <sheetView showGridLines="0" topLeftCell="A22" workbookViewId="0">
      <selection activeCell="Y32" sqref="Y32"/>
    </sheetView>
  </sheetViews>
  <sheetFormatPr defaultRowHeight="12.75"/>
  <sheetData>
    <row r="22" s="122" customFormat="1" ht="12" customHeight="1"/>
    <row r="23" s="122" customFormat="1" ht="11.25" customHeight="1"/>
    <row r="24" s="122" customFormat="1" ht="12" customHeight="1"/>
    <row r="57" spans="1:8">
      <c r="A57" s="690"/>
      <c r="B57" s="122"/>
      <c r="C57" s="122"/>
      <c r="D57" s="122"/>
      <c r="E57" s="122"/>
      <c r="F57" s="122"/>
      <c r="G57" s="122"/>
      <c r="H57" s="122"/>
    </row>
    <row r="64" spans="1:8" ht="7.5" customHeight="1"/>
    <row r="84" spans="1:7" ht="18" customHeight="1">
      <c r="A84" s="1057"/>
    </row>
    <row r="85" spans="1:7">
      <c r="A85" s="122"/>
      <c r="B85" s="122"/>
      <c r="C85" s="122"/>
      <c r="D85" s="122"/>
      <c r="E85" s="122"/>
      <c r="F85" s="122"/>
      <c r="G85" s="122"/>
    </row>
    <row r="87" spans="1:7">
      <c r="B87" s="122"/>
      <c r="C87" s="122"/>
      <c r="D87" s="122"/>
      <c r="E87" s="122"/>
      <c r="F87" s="122"/>
      <c r="G87" s="122"/>
    </row>
    <row r="89" spans="1:7">
      <c r="A89" s="1057" t="s">
        <v>364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5" t="s">
        <v>87</v>
      </c>
      <c r="B1" s="1165"/>
      <c r="C1" s="1165"/>
      <c r="D1" s="1165"/>
      <c r="E1" s="1165"/>
      <c r="F1" s="1165"/>
      <c r="G1" s="1165"/>
      <c r="H1" s="1165"/>
      <c r="I1" s="1165"/>
      <c r="J1" s="1165"/>
      <c r="K1" s="147"/>
    </row>
    <row r="2" spans="1:11" ht="19.5" thickBot="1">
      <c r="A2" s="1179" t="s">
        <v>347</v>
      </c>
      <c r="B2" s="1180"/>
      <c r="C2" s="1180"/>
      <c r="D2" s="1180"/>
      <c r="E2" s="1180"/>
      <c r="F2" s="1180"/>
      <c r="G2" s="1180"/>
      <c r="H2" s="1180"/>
      <c r="I2" s="1180"/>
      <c r="J2" s="1181"/>
    </row>
    <row r="3" spans="1:11" ht="26.25" thickBot="1">
      <c r="A3" s="779"/>
      <c r="B3" s="879"/>
      <c r="C3" s="880" t="s">
        <v>82</v>
      </c>
      <c r="D3" s="150"/>
      <c r="E3" s="824"/>
      <c r="F3" s="825" t="s">
        <v>331</v>
      </c>
      <c r="G3" s="826" t="s">
        <v>332</v>
      </c>
      <c r="H3" s="827" t="s">
        <v>91</v>
      </c>
      <c r="I3" s="825" t="s">
        <v>333</v>
      </c>
      <c r="J3" s="826" t="s">
        <v>334</v>
      </c>
    </row>
    <row r="4" spans="1:11" ht="27">
      <c r="A4" s="780" t="s">
        <v>73</v>
      </c>
      <c r="B4" s="828" t="s">
        <v>83</v>
      </c>
      <c r="C4" s="829" t="s">
        <v>84</v>
      </c>
      <c r="D4" s="1016" t="s">
        <v>85</v>
      </c>
      <c r="E4" s="830" t="s">
        <v>92</v>
      </c>
      <c r="F4" s="831" t="s">
        <v>78</v>
      </c>
      <c r="G4" s="832" t="s">
        <v>69</v>
      </c>
      <c r="H4" s="833" t="s">
        <v>93</v>
      </c>
      <c r="I4" s="151" t="s">
        <v>70</v>
      </c>
      <c r="J4" s="834" t="s">
        <v>92</v>
      </c>
    </row>
    <row r="5" spans="1:11" ht="14.25" thickBot="1">
      <c r="A5" s="152"/>
      <c r="B5" s="982" t="s">
        <v>381</v>
      </c>
      <c r="C5" s="982" t="s">
        <v>381</v>
      </c>
      <c r="D5" s="982" t="s">
        <v>381</v>
      </c>
      <c r="E5" s="835" t="s">
        <v>70</v>
      </c>
      <c r="F5" s="982" t="s">
        <v>381</v>
      </c>
      <c r="G5" s="836" t="s">
        <v>94</v>
      </c>
      <c r="H5" s="837" t="s">
        <v>90</v>
      </c>
      <c r="I5" s="982" t="s">
        <v>381</v>
      </c>
      <c r="J5" s="838" t="s">
        <v>80</v>
      </c>
    </row>
    <row r="6" spans="1:11" ht="16.5" thickBot="1">
      <c r="A6" s="839" t="s">
        <v>338</v>
      </c>
      <c r="B6" s="840"/>
      <c r="C6" s="840"/>
      <c r="D6" s="840"/>
      <c r="E6" s="840"/>
      <c r="F6" s="840"/>
      <c r="G6" s="840"/>
      <c r="H6" s="840"/>
      <c r="I6" s="840"/>
      <c r="J6" s="841"/>
    </row>
    <row r="7" spans="1:11" ht="15.75" thickBot="1">
      <c r="A7" s="842" t="s">
        <v>22</v>
      </c>
      <c r="B7" s="843">
        <v>6.405992455173628</v>
      </c>
      <c r="C7" s="844">
        <v>12366.780801493489</v>
      </c>
      <c r="D7" s="845">
        <v>12614.116417523359</v>
      </c>
      <c r="E7" s="846">
        <v>0.56023368442304489</v>
      </c>
      <c r="F7" s="847">
        <v>324.18437470900454</v>
      </c>
      <c r="G7" s="846">
        <v>-0.1653070277031701</v>
      </c>
      <c r="H7" s="846">
        <v>39.848938663888525</v>
      </c>
      <c r="I7" s="846">
        <v>100</v>
      </c>
      <c r="J7" s="848" t="s">
        <v>23</v>
      </c>
    </row>
    <row r="8" spans="1:11" ht="15">
      <c r="A8" s="849" t="s">
        <v>103</v>
      </c>
      <c r="B8" s="850">
        <v>6.4087909353073078</v>
      </c>
      <c r="C8" s="851">
        <v>11890.150158269587</v>
      </c>
      <c r="D8" s="852">
        <v>12127.95316143498</v>
      </c>
      <c r="E8" s="853" t="s">
        <v>100</v>
      </c>
      <c r="F8" s="854">
        <v>262.3235294117647</v>
      </c>
      <c r="G8" s="855" t="s">
        <v>100</v>
      </c>
      <c r="H8" s="855" t="s">
        <v>100</v>
      </c>
      <c r="I8" s="855" t="s">
        <v>100</v>
      </c>
      <c r="J8" s="856" t="s">
        <v>100</v>
      </c>
    </row>
    <row r="9" spans="1:11" ht="15">
      <c r="A9" s="857" t="s">
        <v>104</v>
      </c>
      <c r="B9" s="858">
        <v>6.7787393031243717</v>
      </c>
      <c r="C9" s="859">
        <v>12718.084996480997</v>
      </c>
      <c r="D9" s="860">
        <v>12972.446696410618</v>
      </c>
      <c r="E9" s="861">
        <v>-0.59355909974432575</v>
      </c>
      <c r="F9" s="862">
        <v>355.77408060453405</v>
      </c>
      <c r="G9" s="863">
        <v>-0.25107649544235727</v>
      </c>
      <c r="H9" s="863">
        <v>38.908327501749476</v>
      </c>
      <c r="I9" s="863">
        <v>36.968060340813857</v>
      </c>
      <c r="J9" s="864">
        <v>-0.25032747009902323</v>
      </c>
    </row>
    <row r="10" spans="1:11" ht="15">
      <c r="A10" s="857" t="s">
        <v>105</v>
      </c>
      <c r="B10" s="858">
        <v>6.6934596813726799</v>
      </c>
      <c r="C10" s="859">
        <v>12558.085706140113</v>
      </c>
      <c r="D10" s="860">
        <v>12809.247420262915</v>
      </c>
      <c r="E10" s="861">
        <v>0.79057203321248193</v>
      </c>
      <c r="F10" s="862">
        <v>392.5512597741095</v>
      </c>
      <c r="G10" s="863">
        <v>0.20163807329538308</v>
      </c>
      <c r="H10" s="863">
        <v>16.852791878172589</v>
      </c>
      <c r="I10" s="863">
        <v>10.71794394263898</v>
      </c>
      <c r="J10" s="864">
        <v>-2.1092470978610862</v>
      </c>
    </row>
    <row r="11" spans="1:11" ht="15">
      <c r="A11" s="857" t="s">
        <v>106</v>
      </c>
      <c r="B11" s="865" t="s">
        <v>100</v>
      </c>
      <c r="C11" s="859" t="s">
        <v>100</v>
      </c>
      <c r="D11" s="860" t="s">
        <v>100</v>
      </c>
      <c r="E11" s="861" t="s">
        <v>100</v>
      </c>
      <c r="F11" s="862" t="s">
        <v>100</v>
      </c>
      <c r="G11" s="863" t="s">
        <v>100</v>
      </c>
      <c r="H11" s="863" t="s">
        <v>100</v>
      </c>
      <c r="I11" s="863" t="s">
        <v>100</v>
      </c>
      <c r="J11" s="864" t="s">
        <v>100</v>
      </c>
    </row>
    <row r="12" spans="1:11" ht="15">
      <c r="A12" s="857" t="s">
        <v>98</v>
      </c>
      <c r="B12" s="858">
        <v>5.210911989645199</v>
      </c>
      <c r="C12" s="859">
        <v>10700.02461939466</v>
      </c>
      <c r="D12" s="860">
        <v>10914.025111782554</v>
      </c>
      <c r="E12" s="861">
        <v>0.61332166876845118</v>
      </c>
      <c r="F12" s="862">
        <v>282.15213114754096</v>
      </c>
      <c r="G12" s="863">
        <v>0.79448377339755316</v>
      </c>
      <c r="H12" s="863">
        <v>31.402584968884632</v>
      </c>
      <c r="I12" s="863">
        <v>25.561039202905299</v>
      </c>
      <c r="J12" s="864">
        <v>-1.6430238261349395</v>
      </c>
    </row>
    <row r="13" spans="1:11" ht="15.75" thickBot="1">
      <c r="A13" s="866" t="s">
        <v>107</v>
      </c>
      <c r="B13" s="867">
        <v>6.8449734990560103</v>
      </c>
      <c r="C13" s="868">
        <v>13214.234554162182</v>
      </c>
      <c r="D13" s="869">
        <v>13478.519245245425</v>
      </c>
      <c r="E13" s="870">
        <v>0.86209561654565448</v>
      </c>
      <c r="F13" s="871">
        <v>293.48714985994394</v>
      </c>
      <c r="G13" s="872">
        <v>1.8133009616486297</v>
      </c>
      <c r="H13" s="872">
        <v>63.855421686746979</v>
      </c>
      <c r="I13" s="872">
        <v>26.594654995809663</v>
      </c>
      <c r="J13" s="873">
        <v>3.8963869921633538</v>
      </c>
    </row>
    <row r="14" spans="1:11" ht="16.5" thickBot="1">
      <c r="A14" s="839" t="s">
        <v>335</v>
      </c>
      <c r="B14" s="840"/>
      <c r="C14" s="840"/>
      <c r="D14" s="840"/>
      <c r="E14" s="840"/>
      <c r="F14" s="840"/>
      <c r="G14" s="840"/>
      <c r="H14" s="840"/>
      <c r="I14" s="840"/>
      <c r="J14" s="841"/>
    </row>
    <row r="15" spans="1:11" ht="15.75" thickBot="1">
      <c r="A15" s="842" t="s">
        <v>22</v>
      </c>
      <c r="B15" s="874">
        <v>6.3779966871444191</v>
      </c>
      <c r="C15" s="875">
        <v>12312.734917267218</v>
      </c>
      <c r="D15" s="876">
        <v>12558.989615612563</v>
      </c>
      <c r="E15" s="846">
        <v>0.89200920309382703</v>
      </c>
      <c r="F15" s="846">
        <v>323.01403061224488</v>
      </c>
      <c r="G15" s="846">
        <v>2.0400937102157202</v>
      </c>
      <c r="H15" s="846">
        <v>41.735537190082646</v>
      </c>
      <c r="I15" s="846">
        <v>100</v>
      </c>
      <c r="J15" s="848" t="s">
        <v>23</v>
      </c>
    </row>
    <row r="16" spans="1:11" ht="15">
      <c r="A16" s="849" t="s">
        <v>103</v>
      </c>
      <c r="B16" s="850">
        <v>6.5653927558860259</v>
      </c>
      <c r="C16" s="851">
        <v>12180.691569361828</v>
      </c>
      <c r="D16" s="852">
        <v>12424.305400749065</v>
      </c>
      <c r="E16" s="853" t="s">
        <v>100</v>
      </c>
      <c r="F16" s="854">
        <v>296.67777777777775</v>
      </c>
      <c r="G16" s="855" t="s">
        <v>100</v>
      </c>
      <c r="H16" s="855" t="s">
        <v>100</v>
      </c>
      <c r="I16" s="855" t="s">
        <v>100</v>
      </c>
      <c r="J16" s="856" t="s">
        <v>100</v>
      </c>
    </row>
    <row r="17" spans="1:10" ht="15">
      <c r="A17" s="857" t="s">
        <v>104</v>
      </c>
      <c r="B17" s="858">
        <v>6.7878065924255742</v>
      </c>
      <c r="C17" s="859">
        <v>12735.096796295637</v>
      </c>
      <c r="D17" s="860">
        <v>12989.798732221549</v>
      </c>
      <c r="E17" s="861">
        <v>0.79329321039409462</v>
      </c>
      <c r="F17" s="862">
        <v>357.60448120300748</v>
      </c>
      <c r="G17" s="863">
        <v>5.6352580860174251E-2</v>
      </c>
      <c r="H17" s="863">
        <v>70.425422860071762</v>
      </c>
      <c r="I17" s="863">
        <v>40.39115646258503</v>
      </c>
      <c r="J17" s="864">
        <v>6.7995586664417758</v>
      </c>
    </row>
    <row r="18" spans="1:10" ht="15">
      <c r="A18" s="857" t="s">
        <v>105</v>
      </c>
      <c r="B18" s="858">
        <v>6.6654880467375621</v>
      </c>
      <c r="C18" s="859">
        <v>12505.606091440079</v>
      </c>
      <c r="D18" s="860">
        <v>12755.718213268881</v>
      </c>
      <c r="E18" s="861">
        <v>1.0660197842990602</v>
      </c>
      <c r="F18" s="862">
        <v>387.44656357388311</v>
      </c>
      <c r="G18" s="863">
        <v>3.4702359363437818</v>
      </c>
      <c r="H18" s="863">
        <v>1.9264448336252189</v>
      </c>
      <c r="I18" s="863">
        <v>7.0699708454810493</v>
      </c>
      <c r="J18" s="864">
        <v>-2.7612963721498049</v>
      </c>
    </row>
    <row r="19" spans="1:10" ht="15">
      <c r="A19" s="857" t="s">
        <v>106</v>
      </c>
      <c r="B19" s="865" t="s">
        <v>100</v>
      </c>
      <c r="C19" s="859" t="s">
        <v>100</v>
      </c>
      <c r="D19" s="860" t="s">
        <v>100</v>
      </c>
      <c r="E19" s="861" t="s">
        <v>100</v>
      </c>
      <c r="F19" s="862" t="s">
        <v>100</v>
      </c>
      <c r="G19" s="863" t="s">
        <v>100</v>
      </c>
      <c r="H19" s="863" t="s">
        <v>100</v>
      </c>
      <c r="I19" s="863" t="s">
        <v>100</v>
      </c>
      <c r="J19" s="864" t="s">
        <v>100</v>
      </c>
    </row>
    <row r="20" spans="1:10" ht="15">
      <c r="A20" s="857" t="s">
        <v>98</v>
      </c>
      <c r="B20" s="858">
        <v>5.279344708075814</v>
      </c>
      <c r="C20" s="859">
        <v>10840.543548410296</v>
      </c>
      <c r="D20" s="860">
        <v>11057.354419378502</v>
      </c>
      <c r="E20" s="861">
        <v>-1.0565174237183113</v>
      </c>
      <c r="F20" s="862">
        <v>285.28781917120136</v>
      </c>
      <c r="G20" s="863">
        <v>-2.3234836607952565E-2</v>
      </c>
      <c r="H20" s="863">
        <v>25.406824146981627</v>
      </c>
      <c r="I20" s="863">
        <v>29.020894071914483</v>
      </c>
      <c r="J20" s="864">
        <v>-3.7786927049450156</v>
      </c>
    </row>
    <row r="21" spans="1:10" ht="15.75" thickBot="1">
      <c r="A21" s="866" t="s">
        <v>107</v>
      </c>
      <c r="B21" s="867">
        <v>6.8014566624048864</v>
      </c>
      <c r="C21" s="868">
        <v>13130.225216997851</v>
      </c>
      <c r="D21" s="869">
        <v>13392.829721337808</v>
      </c>
      <c r="E21" s="870">
        <v>0.24966757414943969</v>
      </c>
      <c r="F21" s="871">
        <v>290.76284379865075</v>
      </c>
      <c r="G21" s="872">
        <v>4.5406658445367256</v>
      </c>
      <c r="H21" s="872">
        <v>40.043604651162788</v>
      </c>
      <c r="I21" s="872">
        <v>23.408649173955297</v>
      </c>
      <c r="J21" s="873">
        <v>-0.28281088114112407</v>
      </c>
    </row>
    <row r="22" spans="1:10" ht="16.5" thickBot="1">
      <c r="A22" s="839" t="s">
        <v>339</v>
      </c>
      <c r="B22" s="840"/>
      <c r="C22" s="840"/>
      <c r="D22" s="840"/>
      <c r="E22" s="840"/>
      <c r="F22" s="840"/>
      <c r="G22" s="840"/>
      <c r="H22" s="840"/>
      <c r="I22" s="840"/>
      <c r="J22" s="841"/>
    </row>
    <row r="23" spans="1:10" ht="15.75" thickBot="1">
      <c r="A23" s="842" t="s">
        <v>22</v>
      </c>
      <c r="B23" s="874">
        <v>5.7160234648892443</v>
      </c>
      <c r="C23" s="875">
        <v>11034.79433376302</v>
      </c>
      <c r="D23" s="876">
        <v>11255.490220438282</v>
      </c>
      <c r="E23" s="846">
        <v>4.1275538546126107</v>
      </c>
      <c r="F23" s="846">
        <v>315.58880358285353</v>
      </c>
      <c r="G23" s="846">
        <v>-26.587941037715158</v>
      </c>
      <c r="H23" s="846">
        <v>45.530726256983236</v>
      </c>
      <c r="I23" s="846">
        <v>100</v>
      </c>
      <c r="J23" s="848" t="s">
        <v>23</v>
      </c>
    </row>
    <row r="24" spans="1:10" ht="15">
      <c r="A24" s="849" t="s">
        <v>103</v>
      </c>
      <c r="B24" s="877" t="s">
        <v>100</v>
      </c>
      <c r="C24" s="851" t="s">
        <v>257</v>
      </c>
      <c r="D24" s="852" t="s">
        <v>257</v>
      </c>
      <c r="E24" s="853" t="s">
        <v>100</v>
      </c>
      <c r="F24" s="854" t="s">
        <v>257</v>
      </c>
      <c r="G24" s="855" t="s">
        <v>100</v>
      </c>
      <c r="H24" s="878" t="s">
        <v>100</v>
      </c>
      <c r="I24" s="878" t="s">
        <v>257</v>
      </c>
      <c r="J24" s="887" t="s">
        <v>100</v>
      </c>
    </row>
    <row r="25" spans="1:10" ht="15">
      <c r="A25" s="857" t="s">
        <v>104</v>
      </c>
      <c r="B25" s="865">
        <v>6.4614825286331516</v>
      </c>
      <c r="C25" s="859">
        <v>12122.856526516231</v>
      </c>
      <c r="D25" s="860">
        <v>12365.313657046556</v>
      </c>
      <c r="E25" s="861">
        <v>0.51206096602075113</v>
      </c>
      <c r="F25" s="862">
        <v>364.19462915601025</v>
      </c>
      <c r="G25" s="863">
        <v>-7.4272405565865105</v>
      </c>
      <c r="H25" s="863">
        <v>66.38297872340425</v>
      </c>
      <c r="I25" s="863">
        <v>25.015994881637877</v>
      </c>
      <c r="J25" s="864">
        <v>3.13517551478499</v>
      </c>
    </row>
    <row r="26" spans="1:10" ht="15">
      <c r="A26" s="857" t="s">
        <v>105</v>
      </c>
      <c r="B26" s="858">
        <v>6.5826665680515086</v>
      </c>
      <c r="C26" s="859">
        <v>12350.218701785194</v>
      </c>
      <c r="D26" s="860">
        <v>12597.223075820897</v>
      </c>
      <c r="E26" s="861">
        <v>0.41700595774088989</v>
      </c>
      <c r="F26" s="862">
        <v>403.61325301204823</v>
      </c>
      <c r="G26" s="863">
        <v>-0.67057232517249465</v>
      </c>
      <c r="H26" s="863">
        <v>-9.7826086956521738</v>
      </c>
      <c r="I26" s="863">
        <v>5.310300703774792</v>
      </c>
      <c r="J26" s="864">
        <v>-3.2558073036739978</v>
      </c>
    </row>
    <row r="27" spans="1:10" ht="15">
      <c r="A27" s="857" t="s">
        <v>106</v>
      </c>
      <c r="B27" s="865" t="s">
        <v>100</v>
      </c>
      <c r="C27" s="859" t="s">
        <v>100</v>
      </c>
      <c r="D27" s="860" t="s">
        <v>100</v>
      </c>
      <c r="E27" s="861" t="s">
        <v>100</v>
      </c>
      <c r="F27" s="862" t="s">
        <v>100</v>
      </c>
      <c r="G27" s="863" t="s">
        <v>100</v>
      </c>
      <c r="H27" s="863" t="s">
        <v>100</v>
      </c>
      <c r="I27" s="863" t="s">
        <v>100</v>
      </c>
      <c r="J27" s="864" t="s">
        <v>100</v>
      </c>
    </row>
    <row r="28" spans="1:10" ht="15">
      <c r="A28" s="857" t="s">
        <v>98</v>
      </c>
      <c r="B28" s="858">
        <v>4.719616929278569</v>
      </c>
      <c r="C28" s="859">
        <v>9691.205193590491</v>
      </c>
      <c r="D28" s="860">
        <v>9885.0292974623007</v>
      </c>
      <c r="E28" s="861">
        <v>0.49585304342597863</v>
      </c>
      <c r="F28" s="862">
        <v>292.24553928095872</v>
      </c>
      <c r="G28" s="863">
        <v>-39.121672956703456</v>
      </c>
      <c r="H28" s="863">
        <v>34.107142857142861</v>
      </c>
      <c r="I28" s="863">
        <v>48.048624440179147</v>
      </c>
      <c r="J28" s="864">
        <v>-4.0929025616830543</v>
      </c>
    </row>
    <row r="29" spans="1:10" ht="15.75" thickBot="1">
      <c r="A29" s="866" t="s">
        <v>107</v>
      </c>
      <c r="B29" s="867">
        <v>6.2225369662335046</v>
      </c>
      <c r="C29" s="868">
        <v>12012.619625933405</v>
      </c>
      <c r="D29" s="869">
        <v>12252.872018452073</v>
      </c>
      <c r="E29" s="870">
        <v>4.3672777893304673</v>
      </c>
      <c r="F29" s="871">
        <v>289.46261127596438</v>
      </c>
      <c r="G29" s="872">
        <v>-14.128942111299716</v>
      </c>
      <c r="H29" s="872">
        <v>80.213903743315512</v>
      </c>
      <c r="I29" s="872">
        <v>21.561100447856685</v>
      </c>
      <c r="J29" s="873">
        <v>4.1495548240205586</v>
      </c>
    </row>
    <row r="30" spans="1:10" ht="15">
      <c r="A30" s="983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67" t="s">
        <v>60</v>
      </c>
      <c r="C33" s="1168"/>
      <c r="D33" s="1168"/>
      <c r="E33" s="1168"/>
      <c r="F33" s="1168"/>
      <c r="G33" s="1168"/>
      <c r="H33" s="1169"/>
    </row>
    <row r="34" spans="1:8" ht="15.75">
      <c r="A34" s="655" t="s">
        <v>63</v>
      </c>
      <c r="B34" s="1173" t="s">
        <v>64</v>
      </c>
      <c r="C34" s="1174"/>
      <c r="D34" s="1174"/>
      <c r="E34" s="1174"/>
      <c r="F34" s="1174"/>
      <c r="G34" s="1174"/>
      <c r="H34" s="1175"/>
    </row>
    <row r="35" spans="1:8" ht="15.75">
      <c r="A35" s="652" t="s">
        <v>65</v>
      </c>
      <c r="B35" s="1170" t="s">
        <v>66</v>
      </c>
      <c r="C35" s="1171"/>
      <c r="D35" s="1171"/>
      <c r="E35" s="1171"/>
      <c r="F35" s="1171"/>
      <c r="G35" s="1171"/>
      <c r="H35" s="1172"/>
    </row>
    <row r="36" spans="1:8" ht="16.5" thickBot="1">
      <c r="A36" s="653" t="s">
        <v>67</v>
      </c>
      <c r="B36" s="1176" t="s">
        <v>62</v>
      </c>
      <c r="C36" s="1177"/>
      <c r="D36" s="1177"/>
      <c r="E36" s="1177"/>
      <c r="F36" s="1177"/>
      <c r="G36" s="1177"/>
      <c r="H36" s="1178"/>
    </row>
    <row r="37" spans="1:8">
      <c r="A37" s="1166"/>
      <c r="B37" s="1166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4"/>
  <sheetViews>
    <sheetView showGridLines="0" topLeftCell="A274" zoomScale="90" zoomScaleNormal="90" workbookViewId="0">
      <selection activeCell="Q302" sqref="Q302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1" t="s">
        <v>343</v>
      </c>
      <c r="B1" s="781"/>
      <c r="C1" s="782"/>
      <c r="D1" s="782"/>
      <c r="E1" s="894" t="s">
        <v>382</v>
      </c>
      <c r="G1" s="783"/>
      <c r="H1" s="782"/>
      <c r="I1" s="782"/>
      <c r="J1" s="782"/>
      <c r="K1" s="782"/>
    </row>
    <row r="2" spans="1:12" ht="15" customHeight="1" thickBot="1">
      <c r="A2" s="784" t="s">
        <v>344</v>
      </c>
      <c r="B2" s="784"/>
      <c r="C2" s="782"/>
      <c r="D2" s="782"/>
      <c r="E2" s="782"/>
      <c r="F2" s="783"/>
      <c r="G2" s="782"/>
      <c r="H2" s="782"/>
      <c r="I2" s="782"/>
      <c r="J2" s="782"/>
      <c r="K2" s="782"/>
    </row>
    <row r="3" spans="1:12" ht="21" thickBot="1">
      <c r="A3" s="1091" t="s">
        <v>8</v>
      </c>
      <c r="B3" s="1081"/>
      <c r="C3" s="1081"/>
      <c r="D3" s="1081"/>
      <c r="E3" s="1081"/>
      <c r="F3" s="1081"/>
      <c r="G3" s="1081"/>
      <c r="H3" s="1081"/>
      <c r="I3" s="1081"/>
      <c r="J3" s="1081"/>
      <c r="K3" s="1081"/>
      <c r="L3" s="1092"/>
    </row>
    <row r="4" spans="1:12">
      <c r="A4" s="27"/>
      <c r="B4" s="28"/>
      <c r="C4" s="3" t="s">
        <v>9</v>
      </c>
      <c r="D4" s="3"/>
      <c r="E4" s="3"/>
      <c r="F4" s="3"/>
      <c r="G4" s="1083"/>
      <c r="H4" s="1184" t="s">
        <v>10</v>
      </c>
      <c r="I4" s="1185"/>
      <c r="J4" s="1117" t="s">
        <v>11</v>
      </c>
      <c r="K4" s="1084" t="s">
        <v>12</v>
      </c>
      <c r="L4" s="1085"/>
    </row>
    <row r="5" spans="1:12" ht="15.75">
      <c r="A5" s="29" t="s">
        <v>13</v>
      </c>
      <c r="B5" s="30" t="s">
        <v>14</v>
      </c>
      <c r="C5" s="1086" t="s">
        <v>40</v>
      </c>
      <c r="D5" s="1086"/>
      <c r="E5" s="1087" t="s">
        <v>41</v>
      </c>
      <c r="F5" s="1088"/>
      <c r="G5" s="1118"/>
      <c r="H5" s="1182" t="s">
        <v>15</v>
      </c>
      <c r="I5" s="1183"/>
      <c r="J5" s="1119" t="s">
        <v>16</v>
      </c>
      <c r="K5" s="1089" t="s">
        <v>17</v>
      </c>
      <c r="L5" s="1090"/>
    </row>
    <row r="6" spans="1:12" ht="26.25" thickBot="1">
      <c r="A6" s="31" t="s">
        <v>18</v>
      </c>
      <c r="B6" s="32" t="s">
        <v>19</v>
      </c>
      <c r="C6" s="982" t="s">
        <v>381</v>
      </c>
      <c r="D6" s="1114" t="s">
        <v>375</v>
      </c>
      <c r="E6" s="1076" t="s">
        <v>381</v>
      </c>
      <c r="F6" s="1077" t="s">
        <v>375</v>
      </c>
      <c r="G6" s="1116" t="s">
        <v>20</v>
      </c>
      <c r="H6" s="81" t="s">
        <v>381</v>
      </c>
      <c r="I6" s="996" t="s">
        <v>20</v>
      </c>
      <c r="J6" s="1120" t="s">
        <v>20</v>
      </c>
      <c r="K6" s="1078" t="s">
        <v>381</v>
      </c>
      <c r="L6" s="1121" t="s">
        <v>21</v>
      </c>
    </row>
    <row r="7" spans="1:12" ht="15" thickBot="1">
      <c r="A7" s="33" t="s">
        <v>22</v>
      </c>
      <c r="B7" s="34" t="s">
        <v>23</v>
      </c>
      <c r="C7" s="82">
        <v>12246.54512681461</v>
      </c>
      <c r="D7" s="82">
        <v>12098.188063547423</v>
      </c>
      <c r="E7" s="83">
        <v>12491.476029350903</v>
      </c>
      <c r="F7" s="705">
        <v>12340.151824818371</v>
      </c>
      <c r="G7" s="1122">
        <v>1.2262750627442844</v>
      </c>
      <c r="H7" s="84">
        <v>323.08899006622516</v>
      </c>
      <c r="I7" s="84">
        <v>-1.8817307399158243</v>
      </c>
      <c r="J7" s="85">
        <v>41.131193732389526</v>
      </c>
      <c r="K7" s="84">
        <v>100</v>
      </c>
      <c r="L7" s="1123" t="s">
        <v>23</v>
      </c>
    </row>
    <row r="8" spans="1:12" ht="15" thickBot="1">
      <c r="A8" s="35"/>
      <c r="B8" s="36"/>
      <c r="C8" s="86"/>
      <c r="D8" s="86"/>
      <c r="E8" s="86"/>
      <c r="F8" s="86"/>
      <c r="G8" s="1124"/>
      <c r="H8" s="85"/>
      <c r="I8" s="85"/>
      <c r="J8" s="85"/>
      <c r="K8" s="85"/>
      <c r="L8" s="1125"/>
    </row>
    <row r="9" spans="1:12" ht="15">
      <c r="A9" s="37" t="s">
        <v>108</v>
      </c>
      <c r="B9" s="38" t="s">
        <v>23</v>
      </c>
      <c r="C9" s="87">
        <v>12021.983820248313</v>
      </c>
      <c r="D9" s="87">
        <v>12265.610801978448</v>
      </c>
      <c r="E9" s="88">
        <v>12262.42349665328</v>
      </c>
      <c r="F9" s="88">
        <v>12510.923018018017</v>
      </c>
      <c r="G9" s="1126">
        <v>-1.9862604941845736</v>
      </c>
      <c r="H9" s="89">
        <v>276.68888888888893</v>
      </c>
      <c r="I9" s="89">
        <v>12.176224154241194</v>
      </c>
      <c r="J9" s="89">
        <v>200</v>
      </c>
      <c r="K9" s="89">
        <v>0.13147643163225556</v>
      </c>
      <c r="L9" s="1127">
        <v>6.9625012485805132E-2</v>
      </c>
    </row>
    <row r="10" spans="1:12" ht="15">
      <c r="A10" s="46" t="s">
        <v>109</v>
      </c>
      <c r="B10" s="90" t="s">
        <v>23</v>
      </c>
      <c r="C10" s="91">
        <v>12694.565081398214</v>
      </c>
      <c r="D10" s="91">
        <v>12695.223637590987</v>
      </c>
      <c r="E10" s="92">
        <v>12948.456383026178</v>
      </c>
      <c r="F10" s="92">
        <v>12949.128110342806</v>
      </c>
      <c r="G10" s="1128">
        <v>-5.1874327823828517E-3</v>
      </c>
      <c r="H10" s="93">
        <v>357.00163934426229</v>
      </c>
      <c r="I10" s="93">
        <v>-0.47039603589449702</v>
      </c>
      <c r="J10" s="93">
        <v>52.379064234734344</v>
      </c>
      <c r="K10" s="93">
        <v>37.426957537982084</v>
      </c>
      <c r="L10" s="1129">
        <v>2.762673296349206</v>
      </c>
    </row>
    <row r="11" spans="1:12" ht="15">
      <c r="A11" s="39" t="s">
        <v>110</v>
      </c>
      <c r="B11" s="40" t="s">
        <v>23</v>
      </c>
      <c r="C11" s="94">
        <v>12531.642300104681</v>
      </c>
      <c r="D11" s="94">
        <v>12421.334546601136</v>
      </c>
      <c r="E11" s="95">
        <v>12782.275146106775</v>
      </c>
      <c r="F11" s="95">
        <v>12669.761237533159</v>
      </c>
      <c r="G11" s="1130">
        <v>0.88805074116394545</v>
      </c>
      <c r="H11" s="96">
        <v>391.45462555066081</v>
      </c>
      <c r="I11" s="96">
        <v>1.2638767767975227</v>
      </c>
      <c r="J11" s="96">
        <v>10.194174757281553</v>
      </c>
      <c r="K11" s="96">
        <v>8.8430074016361502</v>
      </c>
      <c r="L11" s="1131">
        <v>-2.4826746820694368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130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31" t="s">
        <v>100</v>
      </c>
    </row>
    <row r="13" spans="1:12" ht="15">
      <c r="A13" s="39" t="s">
        <v>98</v>
      </c>
      <c r="B13" s="40" t="s">
        <v>23</v>
      </c>
      <c r="C13" s="94">
        <v>10625.032493190289</v>
      </c>
      <c r="D13" s="94">
        <v>10569.139586232999</v>
      </c>
      <c r="E13" s="95">
        <v>10837.533143054095</v>
      </c>
      <c r="F13" s="95">
        <v>10780.522377957659</v>
      </c>
      <c r="G13" s="1130">
        <v>0.5288311929392514</v>
      </c>
      <c r="H13" s="96">
        <v>284.71476635514017</v>
      </c>
      <c r="I13" s="96">
        <v>-7.2078549113792887</v>
      </c>
      <c r="J13" s="96">
        <v>29.227053140096622</v>
      </c>
      <c r="K13" s="96">
        <v>28.65699259836385</v>
      </c>
      <c r="L13" s="1131">
        <v>-2.6398254897400619</v>
      </c>
    </row>
    <row r="14" spans="1:12" ht="15.75" thickBot="1">
      <c r="A14" s="41" t="s">
        <v>112</v>
      </c>
      <c r="B14" s="42" t="s">
        <v>23</v>
      </c>
      <c r="C14" s="97">
        <v>13105.916641676509</v>
      </c>
      <c r="D14" s="97">
        <v>12997.059986074668</v>
      </c>
      <c r="E14" s="98">
        <v>13368.034974510039</v>
      </c>
      <c r="F14" s="98">
        <v>13257.001185796162</v>
      </c>
      <c r="G14" s="1132">
        <v>0.83754830491258903</v>
      </c>
      <c r="H14" s="99">
        <v>292.29642717688398</v>
      </c>
      <c r="I14" s="99">
        <v>1.8822149386871965</v>
      </c>
      <c r="J14" s="99">
        <v>55.400485436893199</v>
      </c>
      <c r="K14" s="99">
        <v>24.941566030385665</v>
      </c>
      <c r="L14" s="1133">
        <v>2.2902018629744916</v>
      </c>
    </row>
    <row r="15" spans="1:12" ht="15" thickBot="1">
      <c r="A15" s="35"/>
      <c r="B15" s="43"/>
      <c r="C15" s="86"/>
      <c r="D15" s="86"/>
      <c r="E15" s="86"/>
      <c r="F15" s="86"/>
      <c r="G15" s="1124"/>
      <c r="H15" s="85"/>
      <c r="I15" s="85"/>
      <c r="J15" s="85"/>
      <c r="K15" s="85"/>
      <c r="L15" s="1125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34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35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30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36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30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36" t="s">
        <v>100</v>
      </c>
    </row>
    <row r="19" spans="1:12" ht="14.25">
      <c r="A19" s="44" t="s">
        <v>113</v>
      </c>
      <c r="B19" s="48" t="s">
        <v>28</v>
      </c>
      <c r="C19" s="105">
        <v>13065.514711752963</v>
      </c>
      <c r="D19" s="105" t="s">
        <v>257</v>
      </c>
      <c r="E19" s="106">
        <v>13326.825005988023</v>
      </c>
      <c r="F19" s="106" t="s">
        <v>257</v>
      </c>
      <c r="G19" s="1137" t="s">
        <v>100</v>
      </c>
      <c r="H19" s="107">
        <v>334</v>
      </c>
      <c r="I19" s="107" t="s">
        <v>100</v>
      </c>
      <c r="J19" s="108" t="s">
        <v>100</v>
      </c>
      <c r="K19" s="108" t="s">
        <v>100</v>
      </c>
      <c r="L19" s="1138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257</v>
      </c>
      <c r="E20" s="95" t="s">
        <v>257</v>
      </c>
      <c r="F20" s="95" t="s">
        <v>257</v>
      </c>
      <c r="G20" s="1130" t="s">
        <v>100</v>
      </c>
      <c r="H20" s="96" t="s">
        <v>257</v>
      </c>
      <c r="I20" s="96" t="s">
        <v>100</v>
      </c>
      <c r="J20" s="104" t="s">
        <v>100</v>
      </c>
      <c r="K20" s="104" t="s">
        <v>257</v>
      </c>
      <c r="L20" s="1136" t="s">
        <v>100</v>
      </c>
    </row>
    <row r="21" spans="1:12" ht="15">
      <c r="A21" s="46" t="s">
        <v>113</v>
      </c>
      <c r="B21" s="47" t="s">
        <v>30</v>
      </c>
      <c r="C21" s="94" t="s">
        <v>257</v>
      </c>
      <c r="D21" s="94" t="s">
        <v>257</v>
      </c>
      <c r="E21" s="95" t="s">
        <v>257</v>
      </c>
      <c r="F21" s="95" t="s">
        <v>257</v>
      </c>
      <c r="G21" s="1130" t="s">
        <v>100</v>
      </c>
      <c r="H21" s="96" t="s">
        <v>257</v>
      </c>
      <c r="I21" s="96" t="s">
        <v>100</v>
      </c>
      <c r="J21" s="104" t="s">
        <v>100</v>
      </c>
      <c r="K21" s="104" t="s">
        <v>257</v>
      </c>
      <c r="L21" s="1136" t="s">
        <v>100</v>
      </c>
    </row>
    <row r="22" spans="1:12" ht="14.25">
      <c r="A22" s="44" t="s">
        <v>113</v>
      </c>
      <c r="B22" s="48" t="s">
        <v>31</v>
      </c>
      <c r="C22" s="105">
        <v>11721.518891142665</v>
      </c>
      <c r="D22" s="105" t="s">
        <v>257</v>
      </c>
      <c r="E22" s="106">
        <v>11955.949268965518</v>
      </c>
      <c r="F22" s="106" t="s">
        <v>257</v>
      </c>
      <c r="G22" s="1137" t="s">
        <v>100</v>
      </c>
      <c r="H22" s="107">
        <v>263.66363636363639</v>
      </c>
      <c r="I22" s="107" t="s">
        <v>100</v>
      </c>
      <c r="J22" s="108" t="s">
        <v>100</v>
      </c>
      <c r="K22" s="108" t="s">
        <v>100</v>
      </c>
      <c r="L22" s="1138" t="s">
        <v>100</v>
      </c>
    </row>
    <row r="23" spans="1:12" ht="15">
      <c r="A23" s="46" t="s">
        <v>113</v>
      </c>
      <c r="B23" s="47" t="s">
        <v>32</v>
      </c>
      <c r="C23" s="94">
        <v>11883.904901960785</v>
      </c>
      <c r="D23" s="94" t="s">
        <v>257</v>
      </c>
      <c r="E23" s="95">
        <v>12121.583000000001</v>
      </c>
      <c r="F23" s="95" t="s">
        <v>257</v>
      </c>
      <c r="G23" s="1130" t="s">
        <v>100</v>
      </c>
      <c r="H23" s="96">
        <v>281.8</v>
      </c>
      <c r="I23" s="96" t="s">
        <v>100</v>
      </c>
      <c r="J23" s="104" t="s">
        <v>100</v>
      </c>
      <c r="K23" s="104" t="s">
        <v>100</v>
      </c>
      <c r="L23" s="1136" t="s">
        <v>100</v>
      </c>
    </row>
    <row r="24" spans="1:12" ht="15.75" thickBot="1">
      <c r="A24" s="49" t="s">
        <v>113</v>
      </c>
      <c r="B24" s="50" t="s">
        <v>33</v>
      </c>
      <c r="C24" s="109">
        <v>10951.391176470588</v>
      </c>
      <c r="D24" s="109" t="s">
        <v>257</v>
      </c>
      <c r="E24" s="110">
        <v>11170.419</v>
      </c>
      <c r="F24" s="110" t="s">
        <v>257</v>
      </c>
      <c r="G24" s="1139" t="s">
        <v>100</v>
      </c>
      <c r="H24" s="104">
        <v>202</v>
      </c>
      <c r="I24" s="104" t="s">
        <v>100</v>
      </c>
      <c r="J24" s="104" t="s">
        <v>100</v>
      </c>
      <c r="K24" s="104" t="s">
        <v>100</v>
      </c>
      <c r="L24" s="1136" t="s">
        <v>100</v>
      </c>
    </row>
    <row r="25" spans="1:12" ht="15" thickBot="1">
      <c r="A25" s="35"/>
      <c r="B25" s="43"/>
      <c r="C25" s="86"/>
      <c r="D25" s="86"/>
      <c r="E25" s="86"/>
      <c r="F25" s="86"/>
      <c r="G25" s="1124"/>
      <c r="H25" s="85"/>
      <c r="I25" s="85"/>
      <c r="J25" s="85"/>
      <c r="K25" s="85"/>
      <c r="L25" s="1125"/>
    </row>
    <row r="26" spans="1:12" ht="14.25">
      <c r="A26" s="44" t="s">
        <v>114</v>
      </c>
      <c r="B26" s="45" t="s">
        <v>25</v>
      </c>
      <c r="C26" s="100">
        <v>13300.153796635494</v>
      </c>
      <c r="D26" s="100">
        <v>13315.711549409963</v>
      </c>
      <c r="E26" s="101">
        <v>13566.156872568205</v>
      </c>
      <c r="F26" s="101">
        <v>13582.025780398162</v>
      </c>
      <c r="G26" s="1134">
        <v>-0.11683756227925819</v>
      </c>
      <c r="H26" s="102">
        <v>422.69416058394165</v>
      </c>
      <c r="I26" s="102">
        <v>-1.2740932353881549</v>
      </c>
      <c r="J26" s="103">
        <v>34.754098360655739</v>
      </c>
      <c r="K26" s="103">
        <v>2.0013634592910012</v>
      </c>
      <c r="L26" s="1135">
        <v>-9.4712411783151929E-2</v>
      </c>
    </row>
    <row r="27" spans="1:12" ht="15">
      <c r="A27" s="46" t="s">
        <v>114</v>
      </c>
      <c r="B27" s="47" t="s">
        <v>26</v>
      </c>
      <c r="C27" s="94">
        <v>13335.045098039214</v>
      </c>
      <c r="D27" s="94">
        <v>13429.810784313724</v>
      </c>
      <c r="E27" s="95">
        <v>13601.745999999999</v>
      </c>
      <c r="F27" s="95">
        <v>13698.406999999999</v>
      </c>
      <c r="G27" s="1130">
        <v>-0.70563679411773983</v>
      </c>
      <c r="H27" s="96">
        <v>413.3</v>
      </c>
      <c r="I27" s="96">
        <v>-0.16908212560386199</v>
      </c>
      <c r="J27" s="104">
        <v>26.785714285714285</v>
      </c>
      <c r="K27" s="104">
        <v>1.0372029606544604</v>
      </c>
      <c r="L27" s="1136">
        <v>-0.11735686341261409</v>
      </c>
    </row>
    <row r="28" spans="1:12" ht="15">
      <c r="A28" s="46" t="s">
        <v>114</v>
      </c>
      <c r="B28" s="47" t="s">
        <v>27</v>
      </c>
      <c r="C28" s="94">
        <v>13264.309803921567</v>
      </c>
      <c r="D28" s="94">
        <v>13185.686274509804</v>
      </c>
      <c r="E28" s="95">
        <v>13529.596</v>
      </c>
      <c r="F28" s="95">
        <v>13449.4</v>
      </c>
      <c r="G28" s="1130">
        <v>0.59627938792808544</v>
      </c>
      <c r="H28" s="96">
        <v>432.8</v>
      </c>
      <c r="I28" s="96">
        <v>-2.8507295173961817</v>
      </c>
      <c r="J28" s="104">
        <v>44.525547445255476</v>
      </c>
      <c r="K28" s="104">
        <v>0.96416049863654074</v>
      </c>
      <c r="L28" s="1136">
        <v>2.264445162946227E-2</v>
      </c>
    </row>
    <row r="29" spans="1:12" ht="14.25">
      <c r="A29" s="44" t="s">
        <v>114</v>
      </c>
      <c r="B29" s="48" t="s">
        <v>28</v>
      </c>
      <c r="C29" s="105">
        <v>12950.288390167139</v>
      </c>
      <c r="D29" s="105">
        <v>12929.411569235053</v>
      </c>
      <c r="E29" s="106">
        <v>13209.294157970482</v>
      </c>
      <c r="F29" s="106">
        <v>13187.999800619755</v>
      </c>
      <c r="G29" s="1137">
        <v>0.16146768025979641</v>
      </c>
      <c r="H29" s="107">
        <v>378.90116585182398</v>
      </c>
      <c r="I29" s="107">
        <v>-0.83513350277766762</v>
      </c>
      <c r="J29" s="108">
        <v>55.861664712778428</v>
      </c>
      <c r="K29" s="108">
        <v>12.947993767043242</v>
      </c>
      <c r="L29" s="1138">
        <v>1.2237136488383076</v>
      </c>
    </row>
    <row r="30" spans="1:12" ht="15">
      <c r="A30" s="46" t="s">
        <v>114</v>
      </c>
      <c r="B30" s="47" t="s">
        <v>29</v>
      </c>
      <c r="C30" s="94">
        <v>13014.582352941175</v>
      </c>
      <c r="D30" s="94">
        <v>13029.533333333333</v>
      </c>
      <c r="E30" s="95">
        <v>13274.874</v>
      </c>
      <c r="F30" s="95">
        <v>13290.124</v>
      </c>
      <c r="G30" s="1130">
        <v>-0.1147468601496871</v>
      </c>
      <c r="H30" s="96">
        <v>368.8</v>
      </c>
      <c r="I30" s="96">
        <v>-1.1260053619302919</v>
      </c>
      <c r="J30" s="104">
        <v>59.907300115874854</v>
      </c>
      <c r="K30" s="104">
        <v>6.7199065056486162</v>
      </c>
      <c r="L30" s="1136">
        <v>0.78904264749453823</v>
      </c>
    </row>
    <row r="31" spans="1:12" ht="15">
      <c r="A31" s="46" t="s">
        <v>114</v>
      </c>
      <c r="B31" s="47" t="s">
        <v>30</v>
      </c>
      <c r="C31" s="94">
        <v>12884.651960784313</v>
      </c>
      <c r="D31" s="94">
        <v>12831.726470588235</v>
      </c>
      <c r="E31" s="95">
        <v>13142.344999999999</v>
      </c>
      <c r="F31" s="95">
        <v>13088.361000000001</v>
      </c>
      <c r="G31" s="1130">
        <v>0.41245806102076915</v>
      </c>
      <c r="H31" s="96">
        <v>389.8</v>
      </c>
      <c r="I31" s="96">
        <v>-0.40878896269799841</v>
      </c>
      <c r="J31" s="104">
        <v>51.720047449584818</v>
      </c>
      <c r="K31" s="104">
        <v>6.2280872613946245</v>
      </c>
      <c r="L31" s="1136">
        <v>0.43467100134376846</v>
      </c>
    </row>
    <row r="32" spans="1:12" ht="14.25">
      <c r="A32" s="44" t="s">
        <v>114</v>
      </c>
      <c r="B32" s="48" t="s">
        <v>31</v>
      </c>
      <c r="C32" s="105">
        <v>12462.364886437321</v>
      </c>
      <c r="D32" s="105">
        <v>12467.607457477445</v>
      </c>
      <c r="E32" s="106">
        <v>12711.612184166068</v>
      </c>
      <c r="F32" s="106">
        <v>12716.959606626993</v>
      </c>
      <c r="G32" s="1137">
        <v>-4.2049535630660904E-2</v>
      </c>
      <c r="H32" s="107">
        <v>338.53750000000002</v>
      </c>
      <c r="I32" s="107">
        <v>-7.6573436821674302E-4</v>
      </c>
      <c r="J32" s="108">
        <v>52.19254863171777</v>
      </c>
      <c r="K32" s="108">
        <v>22.477600311647837</v>
      </c>
      <c r="L32" s="1138">
        <v>1.6336720592940459</v>
      </c>
    </row>
    <row r="33" spans="1:12" ht="15">
      <c r="A33" s="46" t="s">
        <v>114</v>
      </c>
      <c r="B33" s="47" t="s">
        <v>32</v>
      </c>
      <c r="C33" s="94">
        <v>12447.046078431371</v>
      </c>
      <c r="D33" s="94">
        <v>12482.648039215686</v>
      </c>
      <c r="E33" s="95">
        <v>12695.986999999999</v>
      </c>
      <c r="F33" s="95">
        <v>12732.300999999999</v>
      </c>
      <c r="G33" s="1130">
        <v>-0.28521160472094015</v>
      </c>
      <c r="H33" s="96">
        <v>331</v>
      </c>
      <c r="I33" s="96">
        <v>0.6997261940979651</v>
      </c>
      <c r="J33" s="104">
        <v>55.274488697524212</v>
      </c>
      <c r="K33" s="104">
        <v>14.048500194779898</v>
      </c>
      <c r="L33" s="1136">
        <v>1.2796183309904681</v>
      </c>
    </row>
    <row r="34" spans="1:12" ht="15.75" thickBot="1">
      <c r="A34" s="49" t="s">
        <v>114</v>
      </c>
      <c r="B34" s="50" t="s">
        <v>33</v>
      </c>
      <c r="C34" s="109">
        <v>12486.438235294117</v>
      </c>
      <c r="D34" s="109">
        <v>12445.533333333333</v>
      </c>
      <c r="E34" s="110">
        <v>12736.166999999999</v>
      </c>
      <c r="F34" s="110">
        <v>12694.444</v>
      </c>
      <c r="G34" s="1139">
        <v>0.32867134629921529</v>
      </c>
      <c r="H34" s="104">
        <v>351.1</v>
      </c>
      <c r="I34" s="104">
        <v>-0.84721829991527808</v>
      </c>
      <c r="J34" s="104">
        <v>47.319148936170215</v>
      </c>
      <c r="K34" s="104">
        <v>8.4291001168679394</v>
      </c>
      <c r="L34" s="1136">
        <v>0.35405372830357962</v>
      </c>
    </row>
    <row r="35" spans="1:12" ht="15.75" thickBot="1">
      <c r="A35" s="51"/>
      <c r="B35" s="52"/>
      <c r="C35" s="111"/>
      <c r="D35" s="111"/>
      <c r="E35" s="111"/>
      <c r="F35" s="111"/>
      <c r="G35" s="1140"/>
      <c r="H35" s="112"/>
      <c r="I35" s="112"/>
      <c r="J35" s="112"/>
      <c r="K35" s="112"/>
      <c r="L35" s="1141"/>
    </row>
    <row r="36" spans="1:12" ht="15">
      <c r="A36" s="46" t="s">
        <v>115</v>
      </c>
      <c r="B36" s="53" t="s">
        <v>30</v>
      </c>
      <c r="C36" s="113">
        <v>12706.334313725489</v>
      </c>
      <c r="D36" s="113">
        <v>12621.358823529412</v>
      </c>
      <c r="E36" s="114">
        <v>12960.460999999999</v>
      </c>
      <c r="F36" s="114">
        <v>12873.786</v>
      </c>
      <c r="G36" s="1142">
        <v>0.67326736672490339</v>
      </c>
      <c r="H36" s="115">
        <v>411.4</v>
      </c>
      <c r="I36" s="115">
        <v>-0.50785973397824002</v>
      </c>
      <c r="J36" s="115">
        <v>26.324237560192614</v>
      </c>
      <c r="K36" s="115">
        <v>3.8322945072068562</v>
      </c>
      <c r="L36" s="1143">
        <v>-0.44919817370854531</v>
      </c>
    </row>
    <row r="37" spans="1:12" ht="15.75" thickBot="1">
      <c r="A37" s="49" t="s">
        <v>115</v>
      </c>
      <c r="B37" s="50" t="s">
        <v>33</v>
      </c>
      <c r="C37" s="109">
        <v>12385.522549019608</v>
      </c>
      <c r="D37" s="109">
        <v>12285.539215686274</v>
      </c>
      <c r="E37" s="110">
        <v>12633.233</v>
      </c>
      <c r="F37" s="110">
        <v>12531.25</v>
      </c>
      <c r="G37" s="1139">
        <v>0.81382942643391654</v>
      </c>
      <c r="H37" s="104">
        <v>376.2</v>
      </c>
      <c r="I37" s="104">
        <v>1.6207455429497568</v>
      </c>
      <c r="J37" s="104">
        <v>0.3902439024390244</v>
      </c>
      <c r="K37" s="104">
        <v>5.0107128944292949</v>
      </c>
      <c r="L37" s="1136">
        <v>-2.0334765083608914</v>
      </c>
    </row>
    <row r="38" spans="1:12" ht="15.75" thickBot="1">
      <c r="A38" s="51"/>
      <c r="B38" s="52"/>
      <c r="C38" s="111"/>
      <c r="D38" s="111"/>
      <c r="E38" s="111"/>
      <c r="F38" s="111"/>
      <c r="G38" s="1140"/>
      <c r="H38" s="112"/>
      <c r="I38" s="112"/>
      <c r="J38" s="112"/>
      <c r="K38" s="112"/>
      <c r="L38" s="1141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34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35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30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36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30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36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30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36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7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8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30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36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30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36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7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8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30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36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9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36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40"/>
      <c r="H49" s="112"/>
      <c r="I49" s="112"/>
      <c r="J49" s="112"/>
      <c r="K49" s="112"/>
      <c r="L49" s="1141"/>
    </row>
    <row r="50" spans="1:12" ht="14.25">
      <c r="A50" s="44" t="s">
        <v>24</v>
      </c>
      <c r="B50" s="45" t="s">
        <v>28</v>
      </c>
      <c r="C50" s="100">
        <v>11630.935018451704</v>
      </c>
      <c r="D50" s="100">
        <v>11648.569025428154</v>
      </c>
      <c r="E50" s="101">
        <v>11863.553718820738</v>
      </c>
      <c r="F50" s="101">
        <v>11881.540405936717</v>
      </c>
      <c r="G50" s="1134">
        <v>-0.15138346124709626</v>
      </c>
      <c r="H50" s="102">
        <v>351.04573643410856</v>
      </c>
      <c r="I50" s="102">
        <v>3.9220724160453213</v>
      </c>
      <c r="J50" s="103">
        <v>36.507936507936506</v>
      </c>
      <c r="K50" s="103">
        <v>2.5126606934164393</v>
      </c>
      <c r="L50" s="1135">
        <v>-8.5098910734477951E-2</v>
      </c>
    </row>
    <row r="51" spans="1:12" ht="15">
      <c r="A51" s="46" t="s">
        <v>24</v>
      </c>
      <c r="B51" s="47" t="s">
        <v>29</v>
      </c>
      <c r="C51" s="94">
        <v>11409.990196078432</v>
      </c>
      <c r="D51" s="94">
        <v>11397.270588235295</v>
      </c>
      <c r="E51" s="95">
        <v>11638.19</v>
      </c>
      <c r="F51" s="95">
        <v>11625.216</v>
      </c>
      <c r="G51" s="1130">
        <v>0.11160222743388303</v>
      </c>
      <c r="H51" s="96">
        <v>331.1</v>
      </c>
      <c r="I51" s="96">
        <v>37.843463780183193</v>
      </c>
      <c r="J51" s="104">
        <v>12.280701754385964</v>
      </c>
      <c r="K51" s="104">
        <v>0.31164783794312428</v>
      </c>
      <c r="L51" s="1136">
        <v>-8.0077816651061673E-2</v>
      </c>
    </row>
    <row r="52" spans="1:12" ht="15">
      <c r="A52" s="46" t="s">
        <v>24</v>
      </c>
      <c r="B52" s="47" t="s">
        <v>30</v>
      </c>
      <c r="C52" s="94">
        <v>11615.684313725489</v>
      </c>
      <c r="D52" s="94">
        <v>11625.742156862745</v>
      </c>
      <c r="E52" s="95">
        <v>11847.998</v>
      </c>
      <c r="F52" s="95">
        <v>11858.257</v>
      </c>
      <c r="G52" s="1130">
        <v>-8.6513557599569788E-2</v>
      </c>
      <c r="H52" s="96">
        <v>347.7</v>
      </c>
      <c r="I52" s="96">
        <v>-1.2496449872195494</v>
      </c>
      <c r="J52" s="104">
        <v>37.5</v>
      </c>
      <c r="K52" s="104">
        <v>1.3926762758083366</v>
      </c>
      <c r="L52" s="1136">
        <v>-3.6778744465183921E-2</v>
      </c>
    </row>
    <row r="53" spans="1:12" ht="15">
      <c r="A53" s="46" t="s">
        <v>24</v>
      </c>
      <c r="B53" s="47" t="s">
        <v>35</v>
      </c>
      <c r="C53" s="94">
        <v>11733.367647058823</v>
      </c>
      <c r="D53" s="94">
        <v>11773.983333333334</v>
      </c>
      <c r="E53" s="95">
        <v>11968.035</v>
      </c>
      <c r="F53" s="95">
        <v>12009.463</v>
      </c>
      <c r="G53" s="1130">
        <v>-0.34496130259945745</v>
      </c>
      <c r="H53" s="96">
        <v>364.5</v>
      </c>
      <c r="I53" s="96">
        <v>1.0535070695869175</v>
      </c>
      <c r="J53" s="104">
        <v>46.902654867256636</v>
      </c>
      <c r="K53" s="104">
        <v>0.80833657966497863</v>
      </c>
      <c r="L53" s="1136">
        <v>3.175765038176781E-2</v>
      </c>
    </row>
    <row r="54" spans="1:12" ht="14.25">
      <c r="A54" s="44" t="s">
        <v>24</v>
      </c>
      <c r="B54" s="48" t="s">
        <v>31</v>
      </c>
      <c r="C54" s="105">
        <v>11055.284023615854</v>
      </c>
      <c r="D54" s="105">
        <v>11001.485442362686</v>
      </c>
      <c r="E54" s="106">
        <v>11276.389704088171</v>
      </c>
      <c r="F54" s="106">
        <v>11221.51515120994</v>
      </c>
      <c r="G54" s="1137">
        <v>0.48901197511027988</v>
      </c>
      <c r="H54" s="107">
        <v>300.12359890109889</v>
      </c>
      <c r="I54" s="107">
        <v>-6.1351508227955263</v>
      </c>
      <c r="J54" s="108">
        <v>26.169844020797228</v>
      </c>
      <c r="K54" s="108">
        <v>17.724970783015191</v>
      </c>
      <c r="L54" s="1138">
        <v>-2.1018452433747505</v>
      </c>
    </row>
    <row r="55" spans="1:12" ht="15">
      <c r="A55" s="46" t="s">
        <v>24</v>
      </c>
      <c r="B55" s="47" t="s">
        <v>32</v>
      </c>
      <c r="C55" s="94">
        <v>10747.923529411764</v>
      </c>
      <c r="D55" s="94">
        <v>10760.141176470588</v>
      </c>
      <c r="E55" s="95">
        <v>10962.882</v>
      </c>
      <c r="F55" s="95">
        <v>10975.343999999999</v>
      </c>
      <c r="G55" s="1130">
        <v>-0.11354541597966801</v>
      </c>
      <c r="H55" s="96">
        <v>275</v>
      </c>
      <c r="I55" s="96">
        <v>-11.37608765710603</v>
      </c>
      <c r="J55" s="104">
        <v>34.378378378378379</v>
      </c>
      <c r="K55" s="104">
        <v>6.0527853525516164</v>
      </c>
      <c r="L55" s="1136">
        <v>-0.30416605972245314</v>
      </c>
    </row>
    <row r="56" spans="1:12" ht="15">
      <c r="A56" s="46" t="s">
        <v>24</v>
      </c>
      <c r="B56" s="47" t="s">
        <v>33</v>
      </c>
      <c r="C56" s="94">
        <v>11159.686274509802</v>
      </c>
      <c r="D56" s="94">
        <v>11044.167647058823</v>
      </c>
      <c r="E56" s="95">
        <v>11382.88</v>
      </c>
      <c r="F56" s="95">
        <v>11265.050999999999</v>
      </c>
      <c r="G56" s="1130">
        <v>1.0459695211322144</v>
      </c>
      <c r="H56" s="96">
        <v>306.89999999999998</v>
      </c>
      <c r="I56" s="96">
        <v>-3.3994334277620433</v>
      </c>
      <c r="J56" s="104">
        <v>26.033591731266149</v>
      </c>
      <c r="K56" s="104">
        <v>9.5003895597974282</v>
      </c>
      <c r="L56" s="1136">
        <v>-1.1380545333920438</v>
      </c>
    </row>
    <row r="57" spans="1:12" ht="15">
      <c r="A57" s="46" t="s">
        <v>24</v>
      </c>
      <c r="B57" s="47" t="s">
        <v>36</v>
      </c>
      <c r="C57" s="94">
        <v>11335.517647058823</v>
      </c>
      <c r="D57" s="94">
        <v>11337.570588235294</v>
      </c>
      <c r="E57" s="95">
        <v>11562.227999999999</v>
      </c>
      <c r="F57" s="95">
        <v>11564.322</v>
      </c>
      <c r="G57" s="1130">
        <v>-1.8107416932881672E-2</v>
      </c>
      <c r="H57" s="96">
        <v>340.5</v>
      </c>
      <c r="I57" s="96">
        <v>-2.3235800344234141</v>
      </c>
      <c r="J57" s="104">
        <v>8.2524271844660202</v>
      </c>
      <c r="K57" s="104">
        <v>2.1717958706661471</v>
      </c>
      <c r="L57" s="1136">
        <v>-0.65962465026024963</v>
      </c>
    </row>
    <row r="58" spans="1:12" ht="14.25">
      <c r="A58" s="44" t="s">
        <v>24</v>
      </c>
      <c r="B58" s="48" t="s">
        <v>37</v>
      </c>
      <c r="C58" s="105">
        <v>9002.4872752185674</v>
      </c>
      <c r="D58" s="105">
        <v>9023.5434267301043</v>
      </c>
      <c r="E58" s="106">
        <v>9182.5370207229389</v>
      </c>
      <c r="F58" s="106">
        <v>9204.0142952647057</v>
      </c>
      <c r="G58" s="1137">
        <v>-0.23334681860301332</v>
      </c>
      <c r="H58" s="107">
        <v>232.47941006362061</v>
      </c>
      <c r="I58" s="107">
        <v>-13.54911900558769</v>
      </c>
      <c r="J58" s="108">
        <v>33.927188226181251</v>
      </c>
      <c r="K58" s="108">
        <v>8.4193611219322158</v>
      </c>
      <c r="L58" s="1138">
        <v>-0.45288133563083832</v>
      </c>
    </row>
    <row r="59" spans="1:12" ht="15">
      <c r="A59" s="46" t="s">
        <v>24</v>
      </c>
      <c r="B59" s="47" t="s">
        <v>102</v>
      </c>
      <c r="C59" s="116">
        <v>8397.0705882352941</v>
      </c>
      <c r="D59" s="116">
        <v>8617.1725490196077</v>
      </c>
      <c r="E59" s="117">
        <v>8565.0120000000006</v>
      </c>
      <c r="F59" s="117">
        <v>8789.5159999999996</v>
      </c>
      <c r="G59" s="1144">
        <v>-2.5542248287618907</v>
      </c>
      <c r="H59" s="118">
        <v>214.9</v>
      </c>
      <c r="I59" s="118">
        <v>-20.671834625322987</v>
      </c>
      <c r="J59" s="119">
        <v>33.236151603498541</v>
      </c>
      <c r="K59" s="119">
        <v>4.4507206856252441</v>
      </c>
      <c r="L59" s="1145">
        <v>-0.26373192931530998</v>
      </c>
    </row>
    <row r="60" spans="1:12" ht="15">
      <c r="A60" s="46" t="s">
        <v>24</v>
      </c>
      <c r="B60" s="47" t="s">
        <v>38</v>
      </c>
      <c r="C60" s="94">
        <v>9376.6166666666668</v>
      </c>
      <c r="D60" s="94">
        <v>9286.3813725490199</v>
      </c>
      <c r="E60" s="95">
        <v>9564.1489999999994</v>
      </c>
      <c r="F60" s="95">
        <v>9472.1090000000004</v>
      </c>
      <c r="G60" s="1130">
        <v>0.97169489920353591</v>
      </c>
      <c r="H60" s="96">
        <v>242.8</v>
      </c>
      <c r="I60" s="96">
        <v>-6.687163720215211</v>
      </c>
      <c r="J60" s="104">
        <v>39.647577092511014</v>
      </c>
      <c r="K60" s="104">
        <v>3.087261394624075</v>
      </c>
      <c r="L60" s="1136">
        <v>-3.2799082319090456E-2</v>
      </c>
    </row>
    <row r="61" spans="1:12" ht="15.75" thickBot="1">
      <c r="A61" s="46" t="s">
        <v>24</v>
      </c>
      <c r="B61" s="47" t="s">
        <v>39</v>
      </c>
      <c r="C61" s="94">
        <v>10191.024509803921</v>
      </c>
      <c r="D61" s="94">
        <v>10052.747058823528</v>
      </c>
      <c r="E61" s="95">
        <v>10394.844999999999</v>
      </c>
      <c r="F61" s="95">
        <v>10253.802</v>
      </c>
      <c r="G61" s="1130">
        <v>1.3755190513723561</v>
      </c>
      <c r="H61" s="96">
        <v>285.10000000000002</v>
      </c>
      <c r="I61" s="96">
        <v>-0.34952813701502972</v>
      </c>
      <c r="J61" s="104">
        <v>19.867549668874172</v>
      </c>
      <c r="K61" s="104">
        <v>0.88137904168289827</v>
      </c>
      <c r="L61" s="1136">
        <v>-0.15635032399643645</v>
      </c>
    </row>
    <row r="62" spans="1:12" ht="15.75" thickBot="1">
      <c r="A62" s="51"/>
      <c r="B62" s="52"/>
      <c r="C62" s="111"/>
      <c r="D62" s="111"/>
      <c r="E62" s="111"/>
      <c r="F62" s="111"/>
      <c r="G62" s="1140"/>
      <c r="H62" s="112"/>
      <c r="I62" s="112"/>
      <c r="J62" s="112"/>
      <c r="K62" s="112"/>
      <c r="L62" s="1141"/>
    </row>
    <row r="63" spans="1:12" ht="14.25">
      <c r="A63" s="44" t="s">
        <v>117</v>
      </c>
      <c r="B63" s="48" t="s">
        <v>25</v>
      </c>
      <c r="C63" s="105">
        <v>13814.984956815317</v>
      </c>
      <c r="D63" s="105">
        <v>13854.91679800941</v>
      </c>
      <c r="E63" s="106">
        <v>14091.284655951624</v>
      </c>
      <c r="F63" s="106">
        <v>14132.015133969599</v>
      </c>
      <c r="G63" s="1137">
        <v>-0.2882142258683939</v>
      </c>
      <c r="H63" s="107">
        <v>346.50661764705882</v>
      </c>
      <c r="I63" s="107">
        <v>1.6534537362913235</v>
      </c>
      <c r="J63" s="108">
        <v>63.855421686746979</v>
      </c>
      <c r="K63" s="108">
        <v>1.3245033112582782</v>
      </c>
      <c r="L63" s="1138">
        <v>0.18368824700152619</v>
      </c>
    </row>
    <row r="64" spans="1:12" ht="15">
      <c r="A64" s="46" t="s">
        <v>117</v>
      </c>
      <c r="B64" s="47" t="s">
        <v>26</v>
      </c>
      <c r="C64" s="94">
        <v>13599.985294117647</v>
      </c>
      <c r="D64" s="94">
        <v>13978.284313725489</v>
      </c>
      <c r="E64" s="95">
        <v>13871.985000000001</v>
      </c>
      <c r="F64" s="95">
        <v>14257.85</v>
      </c>
      <c r="G64" s="1130">
        <v>-2.7063337038894346</v>
      </c>
      <c r="H64" s="96">
        <v>333.6</v>
      </c>
      <c r="I64" s="96">
        <v>6.3436404207841992</v>
      </c>
      <c r="J64" s="104">
        <v>57.142857142857139</v>
      </c>
      <c r="K64" s="104">
        <v>0.26782236073237242</v>
      </c>
      <c r="L64" s="1136">
        <v>2.7289064051731926E-2</v>
      </c>
    </row>
    <row r="65" spans="1:12" ht="15">
      <c r="A65" s="46" t="s">
        <v>117</v>
      </c>
      <c r="B65" s="47" t="s">
        <v>27</v>
      </c>
      <c r="C65" s="94">
        <v>13858.356862745097</v>
      </c>
      <c r="D65" s="94">
        <v>13674.298039215686</v>
      </c>
      <c r="E65" s="95">
        <v>14135.523999999999</v>
      </c>
      <c r="F65" s="95">
        <v>13947.784</v>
      </c>
      <c r="G65" s="1130">
        <v>1.3460202710337341</v>
      </c>
      <c r="H65" s="96">
        <v>337.5</v>
      </c>
      <c r="I65" s="96">
        <v>-3.7089871611982885</v>
      </c>
      <c r="J65" s="104">
        <v>55.813953488372093</v>
      </c>
      <c r="K65" s="104">
        <v>0.6525126606934164</v>
      </c>
      <c r="L65" s="1136">
        <v>6.1487988849556863E-2</v>
      </c>
    </row>
    <row r="66" spans="1:12" ht="15">
      <c r="A66" s="46" t="s">
        <v>117</v>
      </c>
      <c r="B66" s="47" t="s">
        <v>34</v>
      </c>
      <c r="C66" s="94">
        <v>13879.63725490196</v>
      </c>
      <c r="D66" s="94">
        <v>14119.423529411764</v>
      </c>
      <c r="E66" s="95">
        <v>14157.23</v>
      </c>
      <c r="F66" s="95">
        <v>14401.812</v>
      </c>
      <c r="G66" s="1130">
        <v>-1.6982724118326247</v>
      </c>
      <c r="H66" s="96">
        <v>369.6</v>
      </c>
      <c r="I66" s="96">
        <v>7.5669383003492419</v>
      </c>
      <c r="J66" s="104">
        <v>84.444444444444443</v>
      </c>
      <c r="K66" s="104">
        <v>0.40416828983248931</v>
      </c>
      <c r="L66" s="1136">
        <v>9.4911194100237239E-2</v>
      </c>
    </row>
    <row r="67" spans="1:12" ht="14.25">
      <c r="A67" s="44" t="s">
        <v>117</v>
      </c>
      <c r="B67" s="48" t="s">
        <v>28</v>
      </c>
      <c r="C67" s="105">
        <v>13498.341632947269</v>
      </c>
      <c r="D67" s="105">
        <v>13421.499897355327</v>
      </c>
      <c r="E67" s="106">
        <v>13768.308465606215</v>
      </c>
      <c r="F67" s="106">
        <v>13689.929895302434</v>
      </c>
      <c r="G67" s="1137">
        <v>0.57252718533406022</v>
      </c>
      <c r="H67" s="107">
        <v>309.32906103286388</v>
      </c>
      <c r="I67" s="107">
        <v>2.8711335587543272</v>
      </c>
      <c r="J67" s="108">
        <v>67.058823529411754</v>
      </c>
      <c r="K67" s="108">
        <v>10.372029606544604</v>
      </c>
      <c r="L67" s="1138">
        <v>1.6097452274641277</v>
      </c>
    </row>
    <row r="68" spans="1:12" ht="15">
      <c r="A68" s="46" t="s">
        <v>117</v>
      </c>
      <c r="B68" s="47" t="s">
        <v>29</v>
      </c>
      <c r="C68" s="94">
        <v>13324.485294117647</v>
      </c>
      <c r="D68" s="94">
        <v>13184.717647058824</v>
      </c>
      <c r="E68" s="95">
        <v>13590.975</v>
      </c>
      <c r="F68" s="95">
        <v>13448.412</v>
      </c>
      <c r="G68" s="1130">
        <v>1.0600731149521603</v>
      </c>
      <c r="H68" s="96">
        <v>285.5</v>
      </c>
      <c r="I68" s="96">
        <v>-2.2260273972602738</v>
      </c>
      <c r="J68" s="104">
        <v>87.165775401069524</v>
      </c>
      <c r="K68" s="104">
        <v>1.7043241137514609</v>
      </c>
      <c r="L68" s="1136">
        <v>0.41918907148632445</v>
      </c>
    </row>
    <row r="69" spans="1:12" ht="15">
      <c r="A69" s="46" t="s">
        <v>117</v>
      </c>
      <c r="B69" s="47" t="s">
        <v>30</v>
      </c>
      <c r="C69" s="94">
        <v>13543.328431372549</v>
      </c>
      <c r="D69" s="94">
        <v>13466.453921568627</v>
      </c>
      <c r="E69" s="95">
        <v>13814.195</v>
      </c>
      <c r="F69" s="95">
        <v>13735.782999999999</v>
      </c>
      <c r="G69" s="1130">
        <v>0.57085933870679428</v>
      </c>
      <c r="H69" s="96">
        <v>306.3</v>
      </c>
      <c r="I69" s="96">
        <v>0.52510666229078529</v>
      </c>
      <c r="J69" s="104">
        <v>77.607788595271217</v>
      </c>
      <c r="K69" s="104">
        <v>6.2183482664589018</v>
      </c>
      <c r="L69" s="1136">
        <v>1.2771071146480297</v>
      </c>
    </row>
    <row r="70" spans="1:12" ht="15">
      <c r="A70" s="46" t="s">
        <v>117</v>
      </c>
      <c r="B70" s="47" t="s">
        <v>35</v>
      </c>
      <c r="C70" s="94">
        <v>13497.006862745098</v>
      </c>
      <c r="D70" s="94">
        <v>13449.596078431372</v>
      </c>
      <c r="E70" s="95">
        <v>13766.947</v>
      </c>
      <c r="F70" s="95">
        <v>13718.588</v>
      </c>
      <c r="G70" s="1130">
        <v>0.35250712391100586</v>
      </c>
      <c r="H70" s="96">
        <v>333.6</v>
      </c>
      <c r="I70" s="96">
        <v>12.209889001009085</v>
      </c>
      <c r="J70" s="104">
        <v>36.314363143631432</v>
      </c>
      <c r="K70" s="104">
        <v>2.449357226334242</v>
      </c>
      <c r="L70" s="1136">
        <v>-8.6550958670225331E-2</v>
      </c>
    </row>
    <row r="71" spans="1:12" ht="14.25">
      <c r="A71" s="44" t="s">
        <v>117</v>
      </c>
      <c r="B71" s="48" t="s">
        <v>31</v>
      </c>
      <c r="C71" s="105">
        <v>12668.551648083019</v>
      </c>
      <c r="D71" s="105">
        <v>12579.28712917586</v>
      </c>
      <c r="E71" s="106">
        <v>12921.92268104468</v>
      </c>
      <c r="F71" s="106">
        <v>12830.872871759377</v>
      </c>
      <c r="G71" s="1137">
        <v>0.70961508383192573</v>
      </c>
      <c r="H71" s="107">
        <v>273.53735294117644</v>
      </c>
      <c r="I71" s="107">
        <v>0.35058398487820835</v>
      </c>
      <c r="J71" s="108">
        <v>46.63072776280324</v>
      </c>
      <c r="K71" s="108">
        <v>13.245033112582782</v>
      </c>
      <c r="L71" s="1138">
        <v>0.4967683885088352</v>
      </c>
    </row>
    <row r="72" spans="1:12" ht="15">
      <c r="A72" s="46" t="s">
        <v>117</v>
      </c>
      <c r="B72" s="47" t="s">
        <v>32</v>
      </c>
      <c r="C72" s="94">
        <v>12498.61862745098</v>
      </c>
      <c r="D72" s="94">
        <v>12374.544117647058</v>
      </c>
      <c r="E72" s="95">
        <v>12748.591</v>
      </c>
      <c r="F72" s="95">
        <v>12622.035</v>
      </c>
      <c r="G72" s="1130">
        <v>1.0026592383874746</v>
      </c>
      <c r="H72" s="96">
        <v>250</v>
      </c>
      <c r="I72" s="96">
        <v>1.2965964343598007</v>
      </c>
      <c r="J72" s="104">
        <v>47.569444444444443</v>
      </c>
      <c r="K72" s="104">
        <v>4.1390728476821197</v>
      </c>
      <c r="L72" s="1136">
        <v>0.18058202230929288</v>
      </c>
    </row>
    <row r="73" spans="1:12" ht="15">
      <c r="A73" s="46" t="s">
        <v>117</v>
      </c>
      <c r="B73" s="47" t="s">
        <v>33</v>
      </c>
      <c r="C73" s="94">
        <v>12760.882352941177</v>
      </c>
      <c r="D73" s="94">
        <v>12645.892156862745</v>
      </c>
      <c r="E73" s="95">
        <v>13016.1</v>
      </c>
      <c r="F73" s="95">
        <v>12898.81</v>
      </c>
      <c r="G73" s="1130">
        <v>0.90930868816581445</v>
      </c>
      <c r="H73" s="96">
        <v>279.2</v>
      </c>
      <c r="I73" s="96">
        <v>-0.17876296031462283</v>
      </c>
      <c r="J73" s="96">
        <v>51.422963689892057</v>
      </c>
      <c r="K73" s="96">
        <v>7.5136345929100123</v>
      </c>
      <c r="L73" s="1131">
        <v>0.51067946955079258</v>
      </c>
    </row>
    <row r="74" spans="1:12" ht="15.75" thickBot="1">
      <c r="A74" s="56" t="s">
        <v>117</v>
      </c>
      <c r="B74" s="57" t="s">
        <v>36</v>
      </c>
      <c r="C74" s="97">
        <v>12632.228431372549</v>
      </c>
      <c r="D74" s="97">
        <v>12708.312745098039</v>
      </c>
      <c r="E74" s="98">
        <v>12884.873</v>
      </c>
      <c r="F74" s="98">
        <v>12962.478999999999</v>
      </c>
      <c r="G74" s="1132">
        <v>-0.59869720907551538</v>
      </c>
      <c r="H74" s="99">
        <v>308</v>
      </c>
      <c r="I74" s="99">
        <v>2.0543406229290881</v>
      </c>
      <c r="J74" s="99">
        <v>25.769230769230766</v>
      </c>
      <c r="K74" s="99">
        <v>1.5923256719906507</v>
      </c>
      <c r="L74" s="1133">
        <v>-0.19449310335125025</v>
      </c>
    </row>
    <row r="75" spans="1:12">
      <c r="A75" s="4"/>
      <c r="B75" s="4"/>
      <c r="C75" s="1079"/>
      <c r="D75" s="1079"/>
      <c r="E75" s="1079"/>
      <c r="F75" s="1079"/>
      <c r="G75" s="1080"/>
      <c r="H75" s="1080"/>
      <c r="I75" s="1080"/>
      <c r="J75" s="1080"/>
      <c r="K75" s="1080"/>
      <c r="L75" s="80"/>
    </row>
    <row r="76" spans="1:12" ht="13.5" thickBot="1">
      <c r="G76" s="80"/>
      <c r="H76" s="80"/>
      <c r="I76" s="80"/>
      <c r="J76" s="80"/>
      <c r="K76" s="80"/>
      <c r="L76" s="1146"/>
    </row>
    <row r="77" spans="1:12" ht="21" thickBot="1">
      <c r="A77" s="1091" t="s">
        <v>340</v>
      </c>
      <c r="B77" s="1081"/>
      <c r="C77" s="1081"/>
      <c r="D77" s="1081"/>
      <c r="E77" s="1081"/>
      <c r="F77" s="1081"/>
      <c r="G77" s="1082"/>
      <c r="H77" s="1082"/>
      <c r="I77" s="1082"/>
      <c r="J77" s="1082"/>
      <c r="K77" s="1082"/>
      <c r="L77" s="1147"/>
    </row>
    <row r="78" spans="1:12">
      <c r="A78" s="27"/>
      <c r="B78" s="28"/>
      <c r="C78" s="3" t="s">
        <v>9</v>
      </c>
      <c r="D78" s="3" t="s">
        <v>9</v>
      </c>
      <c r="E78" s="3"/>
      <c r="F78" s="3"/>
      <c r="G78" s="1083"/>
      <c r="H78" s="1184" t="s">
        <v>10</v>
      </c>
      <c r="I78" s="1185"/>
      <c r="J78" s="1117" t="s">
        <v>11</v>
      </c>
      <c r="K78" s="1084" t="s">
        <v>12</v>
      </c>
      <c r="L78" s="1085"/>
    </row>
    <row r="79" spans="1:12" ht="15.75">
      <c r="A79" s="29" t="s">
        <v>13</v>
      </c>
      <c r="B79" s="30" t="s">
        <v>14</v>
      </c>
      <c r="C79" s="1086" t="s">
        <v>40</v>
      </c>
      <c r="D79" s="1086" t="s">
        <v>40</v>
      </c>
      <c r="E79" s="1087" t="s">
        <v>41</v>
      </c>
      <c r="F79" s="1088"/>
      <c r="G79" s="1118"/>
      <c r="H79" s="1182" t="s">
        <v>15</v>
      </c>
      <c r="I79" s="1183"/>
      <c r="J79" s="1119" t="s">
        <v>16</v>
      </c>
      <c r="K79" s="1089" t="s">
        <v>17</v>
      </c>
      <c r="L79" s="1090"/>
    </row>
    <row r="80" spans="1:12" ht="26.25" thickBot="1">
      <c r="A80" s="31" t="s">
        <v>18</v>
      </c>
      <c r="B80" s="32" t="s">
        <v>19</v>
      </c>
      <c r="C80" s="982" t="s">
        <v>381</v>
      </c>
      <c r="D80" s="1114" t="s">
        <v>375</v>
      </c>
      <c r="E80" s="1076" t="s">
        <v>381</v>
      </c>
      <c r="F80" s="1077" t="s">
        <v>375</v>
      </c>
      <c r="G80" s="1116" t="s">
        <v>20</v>
      </c>
      <c r="H80" s="81" t="s">
        <v>381</v>
      </c>
      <c r="I80" s="996" t="s">
        <v>20</v>
      </c>
      <c r="J80" s="1120" t="s">
        <v>20</v>
      </c>
      <c r="K80" s="1078" t="s">
        <v>381</v>
      </c>
      <c r="L80" s="1121" t="s">
        <v>21</v>
      </c>
    </row>
    <row r="81" spans="1:12" ht="15" thickBot="1">
      <c r="A81" s="33" t="s">
        <v>22</v>
      </c>
      <c r="B81" s="34" t="s">
        <v>23</v>
      </c>
      <c r="C81" s="82">
        <v>12366.780801493489</v>
      </c>
      <c r="D81" s="82">
        <v>12297.883913339718</v>
      </c>
      <c r="E81" s="83">
        <v>12614.116417523359</v>
      </c>
      <c r="F81" s="705">
        <v>12543.841591606511</v>
      </c>
      <c r="G81" s="1122">
        <v>0.56023368442304489</v>
      </c>
      <c r="H81" s="84">
        <v>324.18437470900454</v>
      </c>
      <c r="I81" s="84">
        <v>-0.1653070277031701</v>
      </c>
      <c r="J81" s="85">
        <v>39.848938663888525</v>
      </c>
      <c r="K81" s="84">
        <v>100</v>
      </c>
      <c r="L81" s="1123" t="s">
        <v>23</v>
      </c>
    </row>
    <row r="82" spans="1:12" ht="15" thickBot="1">
      <c r="A82" s="35"/>
      <c r="B82" s="36"/>
      <c r="C82" s="86"/>
      <c r="D82" s="86"/>
      <c r="E82" s="86"/>
      <c r="F82" s="86"/>
      <c r="G82" s="1124"/>
      <c r="H82" s="85"/>
      <c r="I82" s="85"/>
      <c r="J82" s="85"/>
      <c r="K82" s="85"/>
      <c r="L82" s="1125"/>
    </row>
    <row r="83" spans="1:12" ht="15">
      <c r="A83" s="37" t="s">
        <v>108</v>
      </c>
      <c r="B83" s="38" t="s">
        <v>23</v>
      </c>
      <c r="C83" s="87">
        <v>11890.150158269587</v>
      </c>
      <c r="D83" s="87" t="s">
        <v>257</v>
      </c>
      <c r="E83" s="88">
        <v>12127.95316143498</v>
      </c>
      <c r="F83" s="88" t="s">
        <v>257</v>
      </c>
      <c r="G83" s="1148" t="s">
        <v>100</v>
      </c>
      <c r="H83" s="89">
        <v>262.3235294117647</v>
      </c>
      <c r="I83" s="89" t="s">
        <v>100</v>
      </c>
      <c r="J83" s="89" t="s">
        <v>100</v>
      </c>
      <c r="K83" s="89" t="s">
        <v>100</v>
      </c>
      <c r="L83" s="1127" t="s">
        <v>100</v>
      </c>
    </row>
    <row r="84" spans="1:12" ht="15">
      <c r="A84" s="46" t="s">
        <v>109</v>
      </c>
      <c r="B84" s="90" t="s">
        <v>23</v>
      </c>
      <c r="C84" s="91">
        <v>12718.084996480997</v>
      </c>
      <c r="D84" s="91">
        <v>12794.02509666583</v>
      </c>
      <c r="E84" s="92">
        <v>12972.446696410618</v>
      </c>
      <c r="F84" s="92">
        <v>13049.905598599147</v>
      </c>
      <c r="G84" s="1128">
        <v>-0.59355909974432575</v>
      </c>
      <c r="H84" s="93">
        <v>355.77408060453405</v>
      </c>
      <c r="I84" s="93">
        <v>-0.25107649544235727</v>
      </c>
      <c r="J84" s="93">
        <v>38.908327501749476</v>
      </c>
      <c r="K84" s="93">
        <v>36.968060340813857</v>
      </c>
      <c r="L84" s="1129">
        <v>-0.25032747009902323</v>
      </c>
    </row>
    <row r="85" spans="1:12" ht="15">
      <c r="A85" s="39" t="s">
        <v>110</v>
      </c>
      <c r="B85" s="40" t="s">
        <v>23</v>
      </c>
      <c r="C85" s="94">
        <v>12558.085706140113</v>
      </c>
      <c r="D85" s="94">
        <v>12459.583721781017</v>
      </c>
      <c r="E85" s="95">
        <v>12809.247420262915</v>
      </c>
      <c r="F85" s="95">
        <v>12708.775396216637</v>
      </c>
      <c r="G85" s="1130">
        <v>0.79057203321248193</v>
      </c>
      <c r="H85" s="96">
        <v>392.5512597741095</v>
      </c>
      <c r="I85" s="96">
        <v>0.20163807329538308</v>
      </c>
      <c r="J85" s="96">
        <v>16.852791878172589</v>
      </c>
      <c r="K85" s="96">
        <v>10.71794394263898</v>
      </c>
      <c r="L85" s="1131">
        <v>-2.1092470978610862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30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131" t="s">
        <v>100</v>
      </c>
    </row>
    <row r="87" spans="1:12" ht="15">
      <c r="A87" s="39" t="s">
        <v>98</v>
      </c>
      <c r="B87" s="40" t="s">
        <v>23</v>
      </c>
      <c r="C87" s="94">
        <v>10700.02461939466</v>
      </c>
      <c r="D87" s="94">
        <v>10634.79909213262</v>
      </c>
      <c r="E87" s="95">
        <v>10914.025111782554</v>
      </c>
      <c r="F87" s="95">
        <v>10847.495073975273</v>
      </c>
      <c r="G87" s="1130">
        <v>0.61332166876845118</v>
      </c>
      <c r="H87" s="96">
        <v>282.15213114754096</v>
      </c>
      <c r="I87" s="96">
        <v>0.79448377339755316</v>
      </c>
      <c r="J87" s="96">
        <v>31.402584968884632</v>
      </c>
      <c r="K87" s="96">
        <v>25.561039202905299</v>
      </c>
      <c r="L87" s="1131">
        <v>-1.6430238261349395</v>
      </c>
    </row>
    <row r="88" spans="1:12" ht="15.75" thickBot="1">
      <c r="A88" s="41" t="s">
        <v>112</v>
      </c>
      <c r="B88" s="42" t="s">
        <v>23</v>
      </c>
      <c r="C88" s="97">
        <v>13214.234554162182</v>
      </c>
      <c r="D88" s="97">
        <v>13101.288916700325</v>
      </c>
      <c r="E88" s="98">
        <v>13478.519245245425</v>
      </c>
      <c r="F88" s="98">
        <v>13363.314695034333</v>
      </c>
      <c r="G88" s="1132">
        <v>0.86209561654565448</v>
      </c>
      <c r="H88" s="99">
        <v>293.48714985994394</v>
      </c>
      <c r="I88" s="99">
        <v>1.8133009616486297</v>
      </c>
      <c r="J88" s="99">
        <v>63.855421686746979</v>
      </c>
      <c r="K88" s="99">
        <v>26.594654995809663</v>
      </c>
      <c r="L88" s="1133">
        <v>3.8963869921633538</v>
      </c>
    </row>
    <row r="89" spans="1:12" ht="15" thickBot="1">
      <c r="A89" s="35"/>
      <c r="B89" s="43"/>
      <c r="C89" s="86"/>
      <c r="D89" s="86"/>
      <c r="E89" s="86"/>
      <c r="F89" s="86"/>
      <c r="G89" s="1124"/>
      <c r="H89" s="85"/>
      <c r="I89" s="85"/>
      <c r="J89" s="85"/>
      <c r="K89" s="85"/>
      <c r="L89" s="1125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34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35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30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36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30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36" t="s">
        <v>100</v>
      </c>
    </row>
    <row r="93" spans="1:12" ht="14.25">
      <c r="A93" s="44" t="s">
        <v>113</v>
      </c>
      <c r="B93" s="48" t="s">
        <v>28</v>
      </c>
      <c r="C93" s="105" t="s">
        <v>257</v>
      </c>
      <c r="D93" s="105" t="s">
        <v>257</v>
      </c>
      <c r="E93" s="106" t="s">
        <v>257</v>
      </c>
      <c r="F93" s="106" t="s">
        <v>257</v>
      </c>
      <c r="G93" s="1149" t="s">
        <v>100</v>
      </c>
      <c r="H93" s="107" t="s">
        <v>257</v>
      </c>
      <c r="I93" s="107" t="s">
        <v>100</v>
      </c>
      <c r="J93" s="108" t="s">
        <v>100</v>
      </c>
      <c r="K93" s="108" t="s">
        <v>100</v>
      </c>
      <c r="L93" s="1138" t="s">
        <v>100</v>
      </c>
    </row>
    <row r="94" spans="1:12" ht="15">
      <c r="A94" s="46" t="s">
        <v>113</v>
      </c>
      <c r="B94" s="47" t="s">
        <v>29</v>
      </c>
      <c r="C94" s="94" t="s">
        <v>257</v>
      </c>
      <c r="D94" s="94" t="s">
        <v>257</v>
      </c>
      <c r="E94" s="95" t="s">
        <v>257</v>
      </c>
      <c r="F94" s="95" t="s">
        <v>257</v>
      </c>
      <c r="G94" s="1130" t="s">
        <v>100</v>
      </c>
      <c r="H94" s="96" t="s">
        <v>257</v>
      </c>
      <c r="I94" s="96" t="s">
        <v>100</v>
      </c>
      <c r="J94" s="104" t="s">
        <v>100</v>
      </c>
      <c r="K94" s="104" t="s">
        <v>257</v>
      </c>
      <c r="L94" s="1136" t="s">
        <v>100</v>
      </c>
    </row>
    <row r="95" spans="1:12" ht="15">
      <c r="A95" s="46" t="s">
        <v>113</v>
      </c>
      <c r="B95" s="47" t="s">
        <v>30</v>
      </c>
      <c r="C95" s="94" t="s">
        <v>257</v>
      </c>
      <c r="D95" s="94" t="s">
        <v>257</v>
      </c>
      <c r="E95" s="95" t="s">
        <v>257</v>
      </c>
      <c r="F95" s="95" t="s">
        <v>257</v>
      </c>
      <c r="G95" s="1130" t="s">
        <v>100</v>
      </c>
      <c r="H95" s="96" t="s">
        <v>257</v>
      </c>
      <c r="I95" s="96" t="s">
        <v>100</v>
      </c>
      <c r="J95" s="104" t="s">
        <v>100</v>
      </c>
      <c r="K95" s="104" t="s">
        <v>257</v>
      </c>
      <c r="L95" s="1136" t="s">
        <v>100</v>
      </c>
    </row>
    <row r="96" spans="1:12" ht="14.25">
      <c r="A96" s="44" t="s">
        <v>113</v>
      </c>
      <c r="B96" s="48" t="s">
        <v>31</v>
      </c>
      <c r="C96" s="105">
        <v>11626.275023098246</v>
      </c>
      <c r="D96" s="105" t="s">
        <v>100</v>
      </c>
      <c r="E96" s="106">
        <v>11858.80052356021</v>
      </c>
      <c r="F96" s="106" t="s">
        <v>100</v>
      </c>
      <c r="G96" s="1137" t="s">
        <v>100</v>
      </c>
      <c r="H96" s="107">
        <v>254.63333333333333</v>
      </c>
      <c r="I96" s="107" t="s">
        <v>100</v>
      </c>
      <c r="J96" s="108" t="s">
        <v>100</v>
      </c>
      <c r="K96" s="108" t="s">
        <v>100</v>
      </c>
      <c r="L96" s="1138" t="s">
        <v>100</v>
      </c>
    </row>
    <row r="97" spans="1:12" ht="15">
      <c r="A97" s="46" t="s">
        <v>113</v>
      </c>
      <c r="B97" s="47" t="s">
        <v>32</v>
      </c>
      <c r="C97" s="94">
        <v>11705.114705882354</v>
      </c>
      <c r="D97" s="94" t="s">
        <v>100</v>
      </c>
      <c r="E97" s="95">
        <v>11939.217000000001</v>
      </c>
      <c r="F97" s="95" t="s">
        <v>100</v>
      </c>
      <c r="G97" s="1130" t="s">
        <v>100</v>
      </c>
      <c r="H97" s="96">
        <v>261.5</v>
      </c>
      <c r="I97" s="96" t="s">
        <v>100</v>
      </c>
      <c r="J97" s="104" t="s">
        <v>100</v>
      </c>
      <c r="K97" s="104" t="s">
        <v>100</v>
      </c>
      <c r="L97" s="1136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09" t="s">
        <v>100</v>
      </c>
      <c r="E98" s="110" t="s">
        <v>257</v>
      </c>
      <c r="F98" s="110" t="s">
        <v>100</v>
      </c>
      <c r="G98" s="1139" t="s">
        <v>100</v>
      </c>
      <c r="H98" s="104" t="s">
        <v>257</v>
      </c>
      <c r="I98" s="104" t="s">
        <v>100</v>
      </c>
      <c r="J98" s="104" t="s">
        <v>100</v>
      </c>
      <c r="K98" s="104" t="s">
        <v>257</v>
      </c>
      <c r="L98" s="1136" t="s">
        <v>100</v>
      </c>
    </row>
    <row r="99" spans="1:12" ht="15" thickBot="1">
      <c r="A99" s="35"/>
      <c r="B99" s="43"/>
      <c r="C99" s="86"/>
      <c r="D99" s="86"/>
      <c r="E99" s="86"/>
      <c r="F99" s="86"/>
      <c r="G99" s="1124"/>
      <c r="H99" s="85"/>
      <c r="I99" s="85"/>
      <c r="J99" s="85"/>
      <c r="K99" s="85"/>
      <c r="L99" s="1125"/>
    </row>
    <row r="100" spans="1:12" ht="14.25">
      <c r="A100" s="44" t="s">
        <v>114</v>
      </c>
      <c r="B100" s="45" t="s">
        <v>25</v>
      </c>
      <c r="C100" s="100">
        <v>13152.608338746251</v>
      </c>
      <c r="D100" s="100">
        <v>13320.179241101574</v>
      </c>
      <c r="E100" s="101">
        <v>13415.660505521177</v>
      </c>
      <c r="F100" s="101">
        <v>13586.582825923606</v>
      </c>
      <c r="G100" s="1134">
        <v>-1.2580228788382635</v>
      </c>
      <c r="H100" s="102">
        <v>429.19791666666669</v>
      </c>
      <c r="I100" s="102">
        <v>0.11003344280909051</v>
      </c>
      <c r="J100" s="103">
        <v>28.859060402684566</v>
      </c>
      <c r="K100" s="103">
        <v>1.7878759661048516</v>
      </c>
      <c r="L100" s="1135">
        <v>-0.15248085118906674</v>
      </c>
    </row>
    <row r="101" spans="1:12" ht="15">
      <c r="A101" s="46" t="s">
        <v>114</v>
      </c>
      <c r="B101" s="47" t="s">
        <v>26</v>
      </c>
      <c r="C101" s="94">
        <v>13215.103921568629</v>
      </c>
      <c r="D101" s="94">
        <v>13455.748039215685</v>
      </c>
      <c r="E101" s="95">
        <v>13479.406000000001</v>
      </c>
      <c r="F101" s="95">
        <v>13724.862999999999</v>
      </c>
      <c r="G101" s="1130">
        <v>-1.788411294160084</v>
      </c>
      <c r="H101" s="96">
        <v>421.1</v>
      </c>
      <c r="I101" s="96">
        <v>0.54918815663801601</v>
      </c>
      <c r="J101" s="104">
        <v>9.8901098901098905</v>
      </c>
      <c r="K101" s="104">
        <v>0.9311853990129435</v>
      </c>
      <c r="L101" s="1136">
        <v>-0.25386473772361073</v>
      </c>
    </row>
    <row r="102" spans="1:12" ht="15">
      <c r="A102" s="46" t="s">
        <v>114</v>
      </c>
      <c r="B102" s="47" t="s">
        <v>27</v>
      </c>
      <c r="C102" s="94">
        <v>13087.305882352941</v>
      </c>
      <c r="D102" s="94">
        <v>13119.693137254901</v>
      </c>
      <c r="E102" s="95">
        <v>13349.052</v>
      </c>
      <c r="F102" s="95">
        <v>13382.087</v>
      </c>
      <c r="G102" s="1130">
        <v>-0.24685985078411055</v>
      </c>
      <c r="H102" s="96">
        <v>438</v>
      </c>
      <c r="I102" s="96">
        <v>-1.417960837272116</v>
      </c>
      <c r="J102" s="104">
        <v>58.620689655172406</v>
      </c>
      <c r="K102" s="104">
        <v>0.85669056709190805</v>
      </c>
      <c r="L102" s="1136">
        <v>0.10138388653454378</v>
      </c>
    </row>
    <row r="103" spans="1:12" ht="14.25">
      <c r="A103" s="44" t="s">
        <v>114</v>
      </c>
      <c r="B103" s="48" t="s">
        <v>28</v>
      </c>
      <c r="C103" s="105">
        <v>12982.254684991682</v>
      </c>
      <c r="D103" s="105">
        <v>13012.954025970979</v>
      </c>
      <c r="E103" s="106">
        <v>13241.899778691515</v>
      </c>
      <c r="F103" s="106">
        <v>13273.213106490399</v>
      </c>
      <c r="G103" s="1137">
        <v>-0.23591369736670528</v>
      </c>
      <c r="H103" s="107">
        <v>376.03171965317921</v>
      </c>
      <c r="I103" s="107">
        <v>-0.67539007384779881</v>
      </c>
      <c r="J103" s="108">
        <v>36.354679802955665</v>
      </c>
      <c r="K103" s="108">
        <v>12.887605922339137</v>
      </c>
      <c r="L103" s="1138">
        <v>-0.33026098741473753</v>
      </c>
    </row>
    <row r="104" spans="1:12" ht="15">
      <c r="A104" s="46" t="s">
        <v>114</v>
      </c>
      <c r="B104" s="47" t="s">
        <v>29</v>
      </c>
      <c r="C104" s="94">
        <v>13144.564705882352</v>
      </c>
      <c r="D104" s="94">
        <v>13172.656862745098</v>
      </c>
      <c r="E104" s="95">
        <v>13407.456</v>
      </c>
      <c r="F104" s="95">
        <v>13436.11</v>
      </c>
      <c r="G104" s="1130">
        <v>-0.21326112989548648</v>
      </c>
      <c r="H104" s="96">
        <v>367.1</v>
      </c>
      <c r="I104" s="96">
        <v>-1.2375571697605505</v>
      </c>
      <c r="J104" s="104">
        <v>35.121107266435985</v>
      </c>
      <c r="K104" s="104">
        <v>7.2725579662910889</v>
      </c>
      <c r="L104" s="1136">
        <v>-0.25446378133229963</v>
      </c>
    </row>
    <row r="105" spans="1:12" ht="15">
      <c r="A105" s="46" t="s">
        <v>114</v>
      </c>
      <c r="B105" s="47" t="s">
        <v>30</v>
      </c>
      <c r="C105" s="94">
        <v>12783.11568627451</v>
      </c>
      <c r="D105" s="94">
        <v>12810.436274509804</v>
      </c>
      <c r="E105" s="95">
        <v>13038.778</v>
      </c>
      <c r="F105" s="95">
        <v>13066.645</v>
      </c>
      <c r="G105" s="1130">
        <v>-0.21326821077637137</v>
      </c>
      <c r="H105" s="96">
        <v>387.6</v>
      </c>
      <c r="I105" s="96">
        <v>-2.5793139025010549E-2</v>
      </c>
      <c r="J105" s="104">
        <v>37.986270022883296</v>
      </c>
      <c r="K105" s="104">
        <v>5.6150479560480493</v>
      </c>
      <c r="L105" s="1136">
        <v>-7.5797206082437008E-2</v>
      </c>
    </row>
    <row r="106" spans="1:12" ht="14.25">
      <c r="A106" s="44" t="s">
        <v>114</v>
      </c>
      <c r="B106" s="48" t="s">
        <v>31</v>
      </c>
      <c r="C106" s="105">
        <v>12504.043962167645</v>
      </c>
      <c r="D106" s="105">
        <v>12587.918456512216</v>
      </c>
      <c r="E106" s="106">
        <v>12754.124841410998</v>
      </c>
      <c r="F106" s="106">
        <v>12839.67682564246</v>
      </c>
      <c r="G106" s="1137">
        <v>-0.66630948265461276</v>
      </c>
      <c r="H106" s="107">
        <v>338.17426900584798</v>
      </c>
      <c r="I106" s="107">
        <v>0.2894207242656</v>
      </c>
      <c r="J106" s="108">
        <v>41.32231404958678</v>
      </c>
      <c r="K106" s="108">
        <v>22.292578452369867</v>
      </c>
      <c r="L106" s="1138">
        <v>0.23241436850478081</v>
      </c>
    </row>
    <row r="107" spans="1:12" ht="15">
      <c r="A107" s="46" t="s">
        <v>114</v>
      </c>
      <c r="B107" s="47" t="s">
        <v>32</v>
      </c>
      <c r="C107" s="94">
        <v>12524.217647058822</v>
      </c>
      <c r="D107" s="94">
        <v>12635.815686274509</v>
      </c>
      <c r="E107" s="95">
        <v>12774.701999999999</v>
      </c>
      <c r="F107" s="95">
        <v>12888.531999999999</v>
      </c>
      <c r="G107" s="1130">
        <v>-0.883188248281495</v>
      </c>
      <c r="H107" s="96">
        <v>331.8</v>
      </c>
      <c r="I107" s="96">
        <v>1.0660980810234542</v>
      </c>
      <c r="J107" s="104">
        <v>38.69047619047619</v>
      </c>
      <c r="K107" s="104">
        <v>15.187633857901108</v>
      </c>
      <c r="L107" s="1136">
        <v>-0.12686021684820759</v>
      </c>
    </row>
    <row r="108" spans="1:12" ht="15.75" thickBot="1">
      <c r="A108" s="49" t="s">
        <v>114</v>
      </c>
      <c r="B108" s="50" t="s">
        <v>33</v>
      </c>
      <c r="C108" s="109">
        <v>12463.376470588235</v>
      </c>
      <c r="D108" s="109">
        <v>12488.039215686274</v>
      </c>
      <c r="E108" s="110">
        <v>12712.644</v>
      </c>
      <c r="F108" s="110">
        <v>12737.8</v>
      </c>
      <c r="G108" s="1139">
        <v>-0.19749093250011024</v>
      </c>
      <c r="H108" s="104">
        <v>351.8</v>
      </c>
      <c r="I108" s="104">
        <v>-1.5668718522663587</v>
      </c>
      <c r="J108" s="104">
        <v>47.297297297297298</v>
      </c>
      <c r="K108" s="104">
        <v>7.1049445944687584</v>
      </c>
      <c r="L108" s="1136">
        <v>0.3592745853529884</v>
      </c>
    </row>
    <row r="109" spans="1:12" ht="15.75" thickBot="1">
      <c r="A109" s="51"/>
      <c r="B109" s="52"/>
      <c r="C109" s="111"/>
      <c r="D109" s="111"/>
      <c r="E109" s="111"/>
      <c r="F109" s="111"/>
      <c r="G109" s="1140"/>
      <c r="H109" s="112"/>
      <c r="I109" s="112"/>
      <c r="J109" s="112"/>
      <c r="K109" s="112"/>
      <c r="L109" s="1141"/>
    </row>
    <row r="110" spans="1:12" ht="15">
      <c r="A110" s="46" t="s">
        <v>115</v>
      </c>
      <c r="B110" s="53" t="s">
        <v>30</v>
      </c>
      <c r="C110" s="113">
        <v>12726.114705882354</v>
      </c>
      <c r="D110" s="113">
        <v>12625.726470588235</v>
      </c>
      <c r="E110" s="114">
        <v>12980.637000000001</v>
      </c>
      <c r="F110" s="114">
        <v>12878.241</v>
      </c>
      <c r="G110" s="1142">
        <v>0.79510858664627138</v>
      </c>
      <c r="H110" s="115">
        <v>410.3</v>
      </c>
      <c r="I110" s="115">
        <v>-1.0371442354076246</v>
      </c>
      <c r="J110" s="115">
        <v>28.066037735849058</v>
      </c>
      <c r="K110" s="115">
        <v>5.0563367166402831</v>
      </c>
      <c r="L110" s="1143">
        <v>-0.46521556881355242</v>
      </c>
    </row>
    <row r="111" spans="1:12" ht="15.75" thickBot="1">
      <c r="A111" s="49" t="s">
        <v>115</v>
      </c>
      <c r="B111" s="50" t="s">
        <v>33</v>
      </c>
      <c r="C111" s="109">
        <v>12394.63431372549</v>
      </c>
      <c r="D111" s="109">
        <v>12320.564705882352</v>
      </c>
      <c r="E111" s="110">
        <v>12642.527</v>
      </c>
      <c r="F111" s="110">
        <v>12566.976000000001</v>
      </c>
      <c r="G111" s="1139">
        <v>0.6011867930677951</v>
      </c>
      <c r="H111" s="104">
        <v>376.7</v>
      </c>
      <c r="I111" s="104">
        <v>0.58744993324432271</v>
      </c>
      <c r="J111" s="104">
        <v>8.3778966131907318</v>
      </c>
      <c r="K111" s="104">
        <v>5.6616072259986963</v>
      </c>
      <c r="L111" s="1136">
        <v>-1.6440315290475338</v>
      </c>
    </row>
    <row r="112" spans="1:12" ht="15.75" thickBot="1">
      <c r="A112" s="51"/>
      <c r="B112" s="52"/>
      <c r="C112" s="111"/>
      <c r="D112" s="111"/>
      <c r="E112" s="111"/>
      <c r="F112" s="111"/>
      <c r="G112" s="1140"/>
      <c r="H112" s="112"/>
      <c r="I112" s="112"/>
      <c r="J112" s="112"/>
      <c r="K112" s="112"/>
      <c r="L112" s="1141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34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35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30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36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30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36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30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36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7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8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30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36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30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36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7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8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30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36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9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36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40"/>
      <c r="H123" s="112"/>
      <c r="I123" s="112"/>
      <c r="J123" s="112"/>
      <c r="K123" s="112"/>
      <c r="L123" s="1141"/>
    </row>
    <row r="124" spans="1:12" ht="14.25">
      <c r="A124" s="44" t="s">
        <v>24</v>
      </c>
      <c r="B124" s="45" t="s">
        <v>28</v>
      </c>
      <c r="C124" s="100">
        <v>11623.6275789217</v>
      </c>
      <c r="D124" s="100">
        <v>11570.284364160825</v>
      </c>
      <c r="E124" s="101">
        <v>11856.100130500134</v>
      </c>
      <c r="F124" s="101">
        <v>11801.690051444042</v>
      </c>
      <c r="G124" s="1134">
        <v>0.46103633309225855</v>
      </c>
      <c r="H124" s="102">
        <v>346.81516587677726</v>
      </c>
      <c r="I124" s="102">
        <v>0.95349462301769194</v>
      </c>
      <c r="J124" s="103">
        <v>63.565891472868216</v>
      </c>
      <c r="K124" s="103">
        <v>1.9648011919173105</v>
      </c>
      <c r="L124" s="1135">
        <v>0.28489495412593135</v>
      </c>
    </row>
    <row r="125" spans="1:12" ht="15">
      <c r="A125" s="46" t="s">
        <v>24</v>
      </c>
      <c r="B125" s="47" t="s">
        <v>29</v>
      </c>
      <c r="C125" s="94">
        <v>11619.954901960784</v>
      </c>
      <c r="D125" s="94">
        <v>11558.990196078432</v>
      </c>
      <c r="E125" s="95">
        <v>11852.353999999999</v>
      </c>
      <c r="F125" s="95">
        <v>11790.17</v>
      </c>
      <c r="G125" s="1130">
        <v>0.52742242054185207</v>
      </c>
      <c r="H125" s="96">
        <v>331.7</v>
      </c>
      <c r="I125" s="96">
        <v>2.8208307501549799</v>
      </c>
      <c r="J125" s="104">
        <v>21.052631578947366</v>
      </c>
      <c r="K125" s="104">
        <v>0.21417264177297701</v>
      </c>
      <c r="L125" s="1136">
        <v>-3.3255408754435417E-2</v>
      </c>
    </row>
    <row r="126" spans="1:12" ht="15">
      <c r="A126" s="46" t="s">
        <v>24</v>
      </c>
      <c r="B126" s="47" t="s">
        <v>30</v>
      </c>
      <c r="C126" s="94">
        <v>11583.876470588235</v>
      </c>
      <c r="D126" s="94">
        <v>11586.794117647059</v>
      </c>
      <c r="E126" s="95">
        <v>11815.554</v>
      </c>
      <c r="F126" s="95">
        <v>11818.53</v>
      </c>
      <c r="G126" s="1130">
        <v>-2.5180796596535843E-2</v>
      </c>
      <c r="H126" s="96">
        <v>347.8</v>
      </c>
      <c r="I126" s="96">
        <v>-0.3438395415472747</v>
      </c>
      <c r="J126" s="104">
        <v>73.239436619718319</v>
      </c>
      <c r="K126" s="104">
        <v>1.1453580407859205</v>
      </c>
      <c r="L126" s="1136">
        <v>0.22075848355190564</v>
      </c>
    </row>
    <row r="127" spans="1:12" ht="15">
      <c r="A127" s="46" t="s">
        <v>24</v>
      </c>
      <c r="B127" s="47" t="s">
        <v>35</v>
      </c>
      <c r="C127" s="94">
        <v>11699.542156862744</v>
      </c>
      <c r="D127" s="94">
        <v>11544.939215686274</v>
      </c>
      <c r="E127" s="95">
        <v>11933.532999999999</v>
      </c>
      <c r="F127" s="95">
        <v>11775.838</v>
      </c>
      <c r="G127" s="1130">
        <v>1.3391403652122227</v>
      </c>
      <c r="H127" s="96">
        <v>350.3</v>
      </c>
      <c r="I127" s="96">
        <v>1.8906340895869691</v>
      </c>
      <c r="J127" s="104">
        <v>66.666666666666657</v>
      </c>
      <c r="K127" s="104">
        <v>0.60527050935841331</v>
      </c>
      <c r="L127" s="1136">
        <v>9.7391879328461495E-2</v>
      </c>
    </row>
    <row r="128" spans="1:12" ht="14.25">
      <c r="A128" s="44" t="s">
        <v>24</v>
      </c>
      <c r="B128" s="48" t="s">
        <v>31</v>
      </c>
      <c r="C128" s="105">
        <v>11023.349449550989</v>
      </c>
      <c r="D128" s="105">
        <v>11023.118933907823</v>
      </c>
      <c r="E128" s="106">
        <v>11243.81643854201</v>
      </c>
      <c r="F128" s="106">
        <v>11243.581312585979</v>
      </c>
      <c r="G128" s="1137">
        <v>2.0912016331288657E-3</v>
      </c>
      <c r="H128" s="107">
        <v>295.96754738655943</v>
      </c>
      <c r="I128" s="107">
        <v>-0.36394824323703068</v>
      </c>
      <c r="J128" s="108">
        <v>34.232845026985352</v>
      </c>
      <c r="K128" s="108">
        <v>16.211937796815345</v>
      </c>
      <c r="L128" s="1138">
        <v>-0.67828228392433232</v>
      </c>
    </row>
    <row r="129" spans="1:12" ht="15">
      <c r="A129" s="46" t="s">
        <v>24</v>
      </c>
      <c r="B129" s="47" t="s">
        <v>32</v>
      </c>
      <c r="C129" s="94">
        <v>10778.13431372549</v>
      </c>
      <c r="D129" s="94">
        <v>10877.225490196079</v>
      </c>
      <c r="E129" s="95">
        <v>10993.697</v>
      </c>
      <c r="F129" s="95">
        <v>11094.77</v>
      </c>
      <c r="G129" s="1130">
        <v>-0.91099680299817232</v>
      </c>
      <c r="H129" s="96">
        <v>269.8</v>
      </c>
      <c r="I129" s="96">
        <v>-1.172161172161168</v>
      </c>
      <c r="J129" s="104">
        <v>37.974683544303801</v>
      </c>
      <c r="K129" s="104">
        <v>6.0899525095446503</v>
      </c>
      <c r="L129" s="1136">
        <v>-8.2726224665533366E-2</v>
      </c>
    </row>
    <row r="130" spans="1:12" ht="15">
      <c r="A130" s="46" t="s">
        <v>24</v>
      </c>
      <c r="B130" s="47" t="s">
        <v>33</v>
      </c>
      <c r="C130" s="94">
        <v>11135.091176470587</v>
      </c>
      <c r="D130" s="94">
        <v>11066.835294117647</v>
      </c>
      <c r="E130" s="95">
        <v>11357.793</v>
      </c>
      <c r="F130" s="95">
        <v>11288.172</v>
      </c>
      <c r="G130" s="1130">
        <v>0.61676062342068472</v>
      </c>
      <c r="H130" s="96">
        <v>307.10000000000002</v>
      </c>
      <c r="I130" s="96">
        <v>0.45796532548251034</v>
      </c>
      <c r="J130" s="104">
        <v>32.538569424964933</v>
      </c>
      <c r="K130" s="104">
        <v>8.7997020206723153</v>
      </c>
      <c r="L130" s="1136">
        <v>-0.48536113859321439</v>
      </c>
    </row>
    <row r="131" spans="1:12" ht="15">
      <c r="A131" s="46" t="s">
        <v>24</v>
      </c>
      <c r="B131" s="47" t="s">
        <v>36</v>
      </c>
      <c r="C131" s="94">
        <v>11246.263725490197</v>
      </c>
      <c r="D131" s="94">
        <v>11269.660784313726</v>
      </c>
      <c r="E131" s="95">
        <v>11471.189</v>
      </c>
      <c r="F131" s="95">
        <v>11495.054</v>
      </c>
      <c r="G131" s="1130">
        <v>-0.20761102992643429</v>
      </c>
      <c r="H131" s="96">
        <v>342.4</v>
      </c>
      <c r="I131" s="96">
        <v>-0.63842135809635681</v>
      </c>
      <c r="J131" s="104">
        <v>29.09090909090909</v>
      </c>
      <c r="K131" s="104">
        <v>1.3222832665983797</v>
      </c>
      <c r="L131" s="1136">
        <v>-0.110194920665587</v>
      </c>
    </row>
    <row r="132" spans="1:12" ht="14.25">
      <c r="A132" s="44" t="s">
        <v>24</v>
      </c>
      <c r="B132" s="48" t="s">
        <v>37</v>
      </c>
      <c r="C132" s="105">
        <v>9441.2850106028218</v>
      </c>
      <c r="D132" s="105">
        <v>9403.6863814559347</v>
      </c>
      <c r="E132" s="106">
        <v>9630.110710814879</v>
      </c>
      <c r="F132" s="106">
        <v>9591.760109085053</v>
      </c>
      <c r="G132" s="1137">
        <v>0.39982861637147599</v>
      </c>
      <c r="H132" s="107">
        <v>234.61551071878938</v>
      </c>
      <c r="I132" s="107">
        <v>0.23771153113738572</v>
      </c>
      <c r="J132" s="108">
        <v>19.607843137254903</v>
      </c>
      <c r="K132" s="108">
        <v>7.384300214172641</v>
      </c>
      <c r="L132" s="1138">
        <v>-1.2496364963365396</v>
      </c>
    </row>
    <row r="133" spans="1:12" ht="15">
      <c r="A133" s="46" t="s">
        <v>24</v>
      </c>
      <c r="B133" s="47" t="s">
        <v>102</v>
      </c>
      <c r="C133" s="116">
        <v>8630.3147058823524</v>
      </c>
      <c r="D133" s="116">
        <v>8721.3656862745102</v>
      </c>
      <c r="E133" s="117">
        <v>8802.9210000000003</v>
      </c>
      <c r="F133" s="117">
        <v>8895.7929999999997</v>
      </c>
      <c r="G133" s="1144">
        <v>-1.0439991128390622</v>
      </c>
      <c r="H133" s="118">
        <v>212.7</v>
      </c>
      <c r="I133" s="118">
        <v>0.47236655644780345</v>
      </c>
      <c r="J133" s="119">
        <v>21.895424836601308</v>
      </c>
      <c r="K133" s="119">
        <v>3.4733215383182787</v>
      </c>
      <c r="L133" s="1145">
        <v>-0.51157232807057396</v>
      </c>
    </row>
    <row r="134" spans="1:12" ht="15">
      <c r="A134" s="46" t="s">
        <v>24</v>
      </c>
      <c r="B134" s="47" t="s">
        <v>38</v>
      </c>
      <c r="C134" s="94">
        <v>9915.8009803921577</v>
      </c>
      <c r="D134" s="94">
        <v>9753.7901960784311</v>
      </c>
      <c r="E134" s="95">
        <v>10114.117</v>
      </c>
      <c r="F134" s="95">
        <v>9948.866</v>
      </c>
      <c r="G134" s="1130">
        <v>1.6610033746559678</v>
      </c>
      <c r="H134" s="96">
        <v>240.1</v>
      </c>
      <c r="I134" s="96">
        <v>0.71308724832214287</v>
      </c>
      <c r="J134" s="104">
        <v>20.532319391634982</v>
      </c>
      <c r="K134" s="104">
        <v>2.9518577148710308</v>
      </c>
      <c r="L134" s="1136">
        <v>-0.47306740558736182</v>
      </c>
    </row>
    <row r="135" spans="1:12" ht="15.75" thickBot="1">
      <c r="A135" s="46" t="s">
        <v>24</v>
      </c>
      <c r="B135" s="47" t="s">
        <v>39</v>
      </c>
      <c r="C135" s="94">
        <v>10363.890196078431</v>
      </c>
      <c r="D135" s="94">
        <v>10207.027450980391</v>
      </c>
      <c r="E135" s="95">
        <v>10571.168</v>
      </c>
      <c r="F135" s="95">
        <v>10411.168</v>
      </c>
      <c r="G135" s="1130">
        <v>1.5368112396226823</v>
      </c>
      <c r="H135" s="96">
        <v>297.10000000000002</v>
      </c>
      <c r="I135" s="96">
        <v>0.81438751272481658</v>
      </c>
      <c r="J135" s="104">
        <v>9.5744680851063837</v>
      </c>
      <c r="K135" s="104">
        <v>0.95912096098333177</v>
      </c>
      <c r="L135" s="1136">
        <v>-0.26499676267860339</v>
      </c>
    </row>
    <row r="136" spans="1:12" ht="15.75" thickBot="1">
      <c r="A136" s="51"/>
      <c r="B136" s="52"/>
      <c r="C136" s="111"/>
      <c r="D136" s="111"/>
      <c r="E136" s="111"/>
      <c r="F136" s="111"/>
      <c r="G136" s="1140"/>
      <c r="H136" s="112"/>
      <c r="I136" s="112"/>
      <c r="J136" s="112"/>
      <c r="K136" s="112"/>
      <c r="L136" s="1141"/>
    </row>
    <row r="137" spans="1:12" ht="14.25">
      <c r="A137" s="44" t="s">
        <v>117</v>
      </c>
      <c r="B137" s="48" t="s">
        <v>25</v>
      </c>
      <c r="C137" s="105">
        <v>13756.511587917917</v>
      </c>
      <c r="D137" s="105">
        <v>13886.733570041273</v>
      </c>
      <c r="E137" s="106">
        <v>14031.641819676277</v>
      </c>
      <c r="F137" s="106">
        <v>14164.468241442099</v>
      </c>
      <c r="G137" s="1137">
        <v>-0.93774379314290712</v>
      </c>
      <c r="H137" s="107">
        <v>356.22612612612619</v>
      </c>
      <c r="I137" s="107">
        <v>3.7830173751337148</v>
      </c>
      <c r="J137" s="108">
        <v>38.75</v>
      </c>
      <c r="K137" s="108">
        <v>1.0336157929043672</v>
      </c>
      <c r="L137" s="1138">
        <v>-8.186525105790432E-3</v>
      </c>
    </row>
    <row r="138" spans="1:12" ht="15">
      <c r="A138" s="46" t="s">
        <v>117</v>
      </c>
      <c r="B138" s="47" t="s">
        <v>26</v>
      </c>
      <c r="C138" s="94">
        <v>13710.068627450981</v>
      </c>
      <c r="D138" s="94">
        <v>14186.044117647058</v>
      </c>
      <c r="E138" s="95">
        <v>13984.27</v>
      </c>
      <c r="F138" s="95">
        <v>14469.764999999999</v>
      </c>
      <c r="G138" s="1130">
        <v>-3.3552376282544949</v>
      </c>
      <c r="H138" s="96">
        <v>332.1</v>
      </c>
      <c r="I138" s="96">
        <v>2.4051803885291432</v>
      </c>
      <c r="J138" s="104">
        <v>47.826086956521742</v>
      </c>
      <c r="K138" s="104">
        <v>0.31660303566440079</v>
      </c>
      <c r="L138" s="1136">
        <v>1.7084869236480449E-2</v>
      </c>
    </row>
    <row r="139" spans="1:12" ht="15">
      <c r="A139" s="46" t="s">
        <v>117</v>
      </c>
      <c r="B139" s="47" t="s">
        <v>27</v>
      </c>
      <c r="C139" s="94">
        <v>13920.886274509803</v>
      </c>
      <c r="D139" s="94">
        <v>13837.822549019607</v>
      </c>
      <c r="E139" s="95">
        <v>14199.304</v>
      </c>
      <c r="F139" s="95">
        <v>14114.579</v>
      </c>
      <c r="G139" s="1130">
        <v>0.60026586694509532</v>
      </c>
      <c r="H139" s="96">
        <v>348.1</v>
      </c>
      <c r="I139" s="96">
        <v>0.23034840195796466</v>
      </c>
      <c r="J139" s="104">
        <v>-2.083333333333333</v>
      </c>
      <c r="K139" s="104">
        <v>0.43765713753608343</v>
      </c>
      <c r="L139" s="1136">
        <v>-0.18742425327001105</v>
      </c>
    </row>
    <row r="140" spans="1:12" ht="15">
      <c r="A140" s="46" t="s">
        <v>117</v>
      </c>
      <c r="B140" s="47" t="s">
        <v>34</v>
      </c>
      <c r="C140" s="94">
        <v>13574.440196078431</v>
      </c>
      <c r="D140" s="94" t="s">
        <v>257</v>
      </c>
      <c r="E140" s="95">
        <v>13845.929</v>
      </c>
      <c r="F140" s="95">
        <v>13730.276</v>
      </c>
      <c r="G140" s="1130">
        <v>0.84232101379462621</v>
      </c>
      <c r="H140" s="96">
        <v>396.3</v>
      </c>
      <c r="I140" s="96">
        <v>7.1081081081081114</v>
      </c>
      <c r="J140" s="104">
        <v>233.33333333333334</v>
      </c>
      <c r="K140" s="104">
        <v>0.27935561970388306</v>
      </c>
      <c r="L140" s="1136">
        <v>0.16215285892774034</v>
      </c>
    </row>
    <row r="141" spans="1:12" ht="14.25">
      <c r="A141" s="44" t="s">
        <v>117</v>
      </c>
      <c r="B141" s="48" t="s">
        <v>28</v>
      </c>
      <c r="C141" s="105">
        <v>13602.574091986422</v>
      </c>
      <c r="D141" s="105">
        <v>13465.111071470152</v>
      </c>
      <c r="E141" s="106">
        <v>13874.62557382615</v>
      </c>
      <c r="F141" s="106">
        <v>13734.413292899555</v>
      </c>
      <c r="G141" s="1137">
        <v>1.0208829306096532</v>
      </c>
      <c r="H141" s="107">
        <v>311.77375215146299</v>
      </c>
      <c r="I141" s="107">
        <v>1.1159965025055147</v>
      </c>
      <c r="J141" s="108">
        <v>78.769230769230774</v>
      </c>
      <c r="K141" s="108">
        <v>10.820374336530403</v>
      </c>
      <c r="L141" s="1138">
        <v>2.3557305026978721</v>
      </c>
    </row>
    <row r="142" spans="1:12" ht="15">
      <c r="A142" s="46" t="s">
        <v>117</v>
      </c>
      <c r="B142" s="47" t="s">
        <v>29</v>
      </c>
      <c r="C142" s="94">
        <v>13516.13137254902</v>
      </c>
      <c r="D142" s="94">
        <v>13403.999019607843</v>
      </c>
      <c r="E142" s="95">
        <v>13786.454</v>
      </c>
      <c r="F142" s="95">
        <v>13672.079</v>
      </c>
      <c r="G142" s="1130">
        <v>0.83655894615588466</v>
      </c>
      <c r="H142" s="96">
        <v>288.39999999999998</v>
      </c>
      <c r="I142" s="96">
        <v>0.38287504350851576</v>
      </c>
      <c r="J142" s="104">
        <v>76.08695652173914</v>
      </c>
      <c r="K142" s="104">
        <v>2.2627805196014523</v>
      </c>
      <c r="L142" s="1136">
        <v>0.46567152103393061</v>
      </c>
    </row>
    <row r="143" spans="1:12" ht="15">
      <c r="A143" s="46" t="s">
        <v>117</v>
      </c>
      <c r="B143" s="47" t="s">
        <v>30</v>
      </c>
      <c r="C143" s="94">
        <v>13667.727450980392</v>
      </c>
      <c r="D143" s="94">
        <v>13555.888235294116</v>
      </c>
      <c r="E143" s="95">
        <v>13941.082</v>
      </c>
      <c r="F143" s="95">
        <v>13827.005999999999</v>
      </c>
      <c r="G143" s="1130">
        <v>0.82502314673184451</v>
      </c>
      <c r="H143" s="96">
        <v>311.3</v>
      </c>
      <c r="I143" s="96">
        <v>1.1699707507312391</v>
      </c>
      <c r="J143" s="104">
        <v>91.777188328912459</v>
      </c>
      <c r="K143" s="104">
        <v>6.7324704348635818</v>
      </c>
      <c r="L143" s="1136">
        <v>1.822977011240714</v>
      </c>
    </row>
    <row r="144" spans="1:12" ht="15">
      <c r="A144" s="46" t="s">
        <v>117</v>
      </c>
      <c r="B144" s="47" t="s">
        <v>35</v>
      </c>
      <c r="C144" s="94">
        <v>13474.359803921569</v>
      </c>
      <c r="D144" s="94">
        <v>13283.988235294117</v>
      </c>
      <c r="E144" s="95">
        <v>13743.847</v>
      </c>
      <c r="F144" s="95">
        <v>13549.668</v>
      </c>
      <c r="G144" s="1130">
        <v>1.4330904639139503</v>
      </c>
      <c r="H144" s="96">
        <v>342.5</v>
      </c>
      <c r="I144" s="96">
        <v>3.2870928829915491</v>
      </c>
      <c r="J144" s="104">
        <v>45.185185185185183</v>
      </c>
      <c r="K144" s="104">
        <v>1.8251233820653694</v>
      </c>
      <c r="L144" s="1136">
        <v>6.7081970423228388E-2</v>
      </c>
    </row>
    <row r="145" spans="1:12" ht="14.25">
      <c r="A145" s="44" t="s">
        <v>117</v>
      </c>
      <c r="B145" s="48" t="s">
        <v>31</v>
      </c>
      <c r="C145" s="105">
        <v>12842.668541551793</v>
      </c>
      <c r="D145" s="105">
        <v>12757.192812766449</v>
      </c>
      <c r="E145" s="106">
        <v>13099.52191238283</v>
      </c>
      <c r="F145" s="106">
        <v>13012.336669021777</v>
      </c>
      <c r="G145" s="1137">
        <v>0.67001988634841569</v>
      </c>
      <c r="H145" s="107">
        <v>275.66462413139607</v>
      </c>
      <c r="I145" s="107">
        <v>1.7068886659048144</v>
      </c>
      <c r="J145" s="108">
        <v>56.2685093780849</v>
      </c>
      <c r="K145" s="108">
        <v>14.740664866374894</v>
      </c>
      <c r="L145" s="1138">
        <v>1.5488430145712737</v>
      </c>
    </row>
    <row r="146" spans="1:12" ht="15">
      <c r="A146" s="46" t="s">
        <v>117</v>
      </c>
      <c r="B146" s="47" t="s">
        <v>32</v>
      </c>
      <c r="C146" s="94">
        <v>12653.808823529413</v>
      </c>
      <c r="D146" s="94">
        <v>12467.113725490197</v>
      </c>
      <c r="E146" s="95">
        <v>12906.885</v>
      </c>
      <c r="F146" s="95">
        <v>12716.456</v>
      </c>
      <c r="G146" s="1130">
        <v>1.4975005614771921</v>
      </c>
      <c r="H146" s="96">
        <v>252.9</v>
      </c>
      <c r="I146" s="96">
        <v>1.7706237424547306</v>
      </c>
      <c r="J146" s="104">
        <v>36.029411764705884</v>
      </c>
      <c r="K146" s="104">
        <v>5.1680789645218361</v>
      </c>
      <c r="L146" s="1136">
        <v>-0.14511285732996804</v>
      </c>
    </row>
    <row r="147" spans="1:12" ht="15">
      <c r="A147" s="46" t="s">
        <v>117</v>
      </c>
      <c r="B147" s="47" t="s">
        <v>33</v>
      </c>
      <c r="C147" s="94">
        <v>12948.937254901959</v>
      </c>
      <c r="D147" s="94">
        <v>12957.108823529412</v>
      </c>
      <c r="E147" s="95">
        <v>13207.915999999999</v>
      </c>
      <c r="F147" s="95">
        <v>13216.251</v>
      </c>
      <c r="G147" s="1130">
        <v>-6.3066296183395321E-2</v>
      </c>
      <c r="H147" s="96">
        <v>283.5</v>
      </c>
      <c r="I147" s="96">
        <v>-3.5260930888583474E-2</v>
      </c>
      <c r="J147" s="96">
        <v>75.095057034220531</v>
      </c>
      <c r="K147" s="96">
        <v>8.5762175249092092</v>
      </c>
      <c r="L147" s="1131">
        <v>1.726367283992424</v>
      </c>
    </row>
    <row r="148" spans="1:12" ht="15.75" thickBot="1">
      <c r="A148" s="56" t="s">
        <v>117</v>
      </c>
      <c r="B148" s="57" t="s">
        <v>36</v>
      </c>
      <c r="C148" s="97">
        <v>12807.23137254902</v>
      </c>
      <c r="D148" s="97">
        <v>12740.132352941177</v>
      </c>
      <c r="E148" s="98">
        <v>13063.376</v>
      </c>
      <c r="F148" s="98">
        <v>12994.934999999999</v>
      </c>
      <c r="G148" s="1132">
        <v>0.5266744312303272</v>
      </c>
      <c r="H148" s="99">
        <v>326.3</v>
      </c>
      <c r="I148" s="99">
        <v>7.4061882817643188</v>
      </c>
      <c r="J148" s="99">
        <v>35.443037974683541</v>
      </c>
      <c r="K148" s="99">
        <v>0.9963683769438495</v>
      </c>
      <c r="L148" s="1133">
        <v>-3.2411412091181035E-2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46"/>
    </row>
    <row r="151" spans="1:12" ht="21" thickBot="1">
      <c r="A151" s="1091" t="s">
        <v>341</v>
      </c>
      <c r="B151" s="1081"/>
      <c r="C151" s="1081"/>
      <c r="D151" s="1081"/>
      <c r="E151" s="1081"/>
      <c r="F151" s="1081"/>
      <c r="G151" s="1082"/>
      <c r="H151" s="1082"/>
      <c r="I151" s="1082"/>
      <c r="J151" s="1082"/>
      <c r="K151" s="1082"/>
      <c r="L151" s="1147"/>
    </row>
    <row r="152" spans="1:12">
      <c r="A152" s="27"/>
      <c r="B152" s="28"/>
      <c r="C152" s="3" t="s">
        <v>9</v>
      </c>
      <c r="D152" s="3" t="s">
        <v>9</v>
      </c>
      <c r="E152" s="3"/>
      <c r="F152" s="3"/>
      <c r="G152" s="1083"/>
      <c r="H152" s="1184" t="s">
        <v>10</v>
      </c>
      <c r="I152" s="1185"/>
      <c r="J152" s="1117" t="s">
        <v>11</v>
      </c>
      <c r="K152" s="1084" t="s">
        <v>12</v>
      </c>
      <c r="L152" s="1085"/>
    </row>
    <row r="153" spans="1:12" ht="15.75">
      <c r="A153" s="29" t="s">
        <v>13</v>
      </c>
      <c r="B153" s="30" t="s">
        <v>14</v>
      </c>
      <c r="C153" s="1086" t="s">
        <v>40</v>
      </c>
      <c r="D153" s="1086" t="s">
        <v>40</v>
      </c>
      <c r="E153" s="1087" t="s">
        <v>41</v>
      </c>
      <c r="F153" s="1088"/>
      <c r="G153" s="1118"/>
      <c r="H153" s="1182" t="s">
        <v>15</v>
      </c>
      <c r="I153" s="1183"/>
      <c r="J153" s="1119" t="s">
        <v>16</v>
      </c>
      <c r="K153" s="1089" t="s">
        <v>17</v>
      </c>
      <c r="L153" s="1090"/>
    </row>
    <row r="154" spans="1:12" ht="26.25" thickBot="1">
      <c r="A154" s="31" t="s">
        <v>18</v>
      </c>
      <c r="B154" s="32" t="s">
        <v>19</v>
      </c>
      <c r="C154" s="982" t="s">
        <v>381</v>
      </c>
      <c r="D154" s="1114" t="s">
        <v>375</v>
      </c>
      <c r="E154" s="1076" t="s">
        <v>381</v>
      </c>
      <c r="F154" s="1077" t="s">
        <v>375</v>
      </c>
      <c r="G154" s="1116" t="s">
        <v>20</v>
      </c>
      <c r="H154" s="81" t="s">
        <v>381</v>
      </c>
      <c r="I154" s="996" t="s">
        <v>20</v>
      </c>
      <c r="J154" s="1120" t="s">
        <v>20</v>
      </c>
      <c r="K154" s="1078" t="s">
        <v>381</v>
      </c>
      <c r="L154" s="1121" t="s">
        <v>21</v>
      </c>
    </row>
    <row r="155" spans="1:12" ht="15" thickBot="1">
      <c r="A155" s="33" t="s">
        <v>22</v>
      </c>
      <c r="B155" s="34" t="s">
        <v>23</v>
      </c>
      <c r="C155" s="82">
        <v>12312.734917267218</v>
      </c>
      <c r="D155" s="82">
        <v>12203.875227107334</v>
      </c>
      <c r="E155" s="83">
        <v>12558.989615612563</v>
      </c>
      <c r="F155" s="705">
        <v>12447.95273164948</v>
      </c>
      <c r="G155" s="1122">
        <v>0.89200920309382703</v>
      </c>
      <c r="H155" s="84">
        <v>323.01403061224488</v>
      </c>
      <c r="I155" s="84">
        <v>2.0400937102157202</v>
      </c>
      <c r="J155" s="85">
        <v>41.735537190082646</v>
      </c>
      <c r="K155" s="84">
        <v>100</v>
      </c>
      <c r="L155" s="1123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24"/>
      <c r="H156" s="85"/>
      <c r="I156" s="85"/>
      <c r="J156" s="85"/>
      <c r="K156" s="85"/>
      <c r="L156" s="1125"/>
    </row>
    <row r="157" spans="1:12" ht="15">
      <c r="A157" s="37" t="s">
        <v>108</v>
      </c>
      <c r="B157" s="38" t="s">
        <v>23</v>
      </c>
      <c r="C157" s="87">
        <v>12180.691569361828</v>
      </c>
      <c r="D157" s="87" t="s">
        <v>257</v>
      </c>
      <c r="E157" s="88">
        <v>12424.305400749065</v>
      </c>
      <c r="F157" s="88" t="s">
        <v>257</v>
      </c>
      <c r="G157" s="1148" t="s">
        <v>100</v>
      </c>
      <c r="H157" s="89">
        <v>296.67777777777775</v>
      </c>
      <c r="I157" s="89" t="s">
        <v>100</v>
      </c>
      <c r="J157" s="89" t="s">
        <v>100</v>
      </c>
      <c r="K157" s="89" t="s">
        <v>100</v>
      </c>
      <c r="L157" s="1127" t="s">
        <v>100</v>
      </c>
    </row>
    <row r="158" spans="1:12" ht="15">
      <c r="A158" s="46" t="s">
        <v>109</v>
      </c>
      <c r="B158" s="90" t="s">
        <v>23</v>
      </c>
      <c r="C158" s="91">
        <v>12735.096796295637</v>
      </c>
      <c r="D158" s="91">
        <v>12634.86526798229</v>
      </c>
      <c r="E158" s="92">
        <v>12989.798732221549</v>
      </c>
      <c r="F158" s="92">
        <v>12887.562573341937</v>
      </c>
      <c r="G158" s="1128">
        <v>0.79329321039409462</v>
      </c>
      <c r="H158" s="93">
        <v>357.60448120300748</v>
      </c>
      <c r="I158" s="93">
        <v>5.6352580860174251E-2</v>
      </c>
      <c r="J158" s="93">
        <v>70.425422860071762</v>
      </c>
      <c r="K158" s="93">
        <v>40.39115646258503</v>
      </c>
      <c r="L158" s="1129">
        <v>6.7995586664417758</v>
      </c>
    </row>
    <row r="159" spans="1:12" ht="15">
      <c r="A159" s="39" t="s">
        <v>110</v>
      </c>
      <c r="B159" s="40" t="s">
        <v>23</v>
      </c>
      <c r="C159" s="94">
        <v>12505.606091440079</v>
      </c>
      <c r="D159" s="94">
        <v>12373.700001375602</v>
      </c>
      <c r="E159" s="95">
        <v>12755.718213268881</v>
      </c>
      <c r="F159" s="95">
        <v>12621.174001403115</v>
      </c>
      <c r="G159" s="1130">
        <v>1.0660197842990602</v>
      </c>
      <c r="H159" s="96">
        <v>387.44656357388311</v>
      </c>
      <c r="I159" s="96">
        <v>3.4702359363437818</v>
      </c>
      <c r="J159" s="96">
        <v>1.9264448336252189</v>
      </c>
      <c r="K159" s="96">
        <v>7.0699708454810493</v>
      </c>
      <c r="L159" s="1131">
        <v>-2.7612963721498049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30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31" t="s">
        <v>100</v>
      </c>
    </row>
    <row r="161" spans="1:12" ht="15">
      <c r="A161" s="39" t="s">
        <v>98</v>
      </c>
      <c r="B161" s="40" t="s">
        <v>23</v>
      </c>
      <c r="C161" s="94">
        <v>10840.543548410296</v>
      </c>
      <c r="D161" s="94">
        <v>10956.298753738172</v>
      </c>
      <c r="E161" s="95">
        <v>11057.354419378502</v>
      </c>
      <c r="F161" s="95">
        <v>11175.424728812935</v>
      </c>
      <c r="G161" s="1130">
        <v>-1.0565174237183113</v>
      </c>
      <c r="H161" s="96">
        <v>285.28781917120136</v>
      </c>
      <c r="I161" s="96">
        <v>-2.3234836607952565E-2</v>
      </c>
      <c r="J161" s="96">
        <v>25.406824146981627</v>
      </c>
      <c r="K161" s="96">
        <v>29.020894071914483</v>
      </c>
      <c r="L161" s="1131">
        <v>-3.7786927049450156</v>
      </c>
    </row>
    <row r="162" spans="1:12" ht="15.75" thickBot="1">
      <c r="A162" s="41" t="s">
        <v>112</v>
      </c>
      <c r="B162" s="42" t="s">
        <v>23</v>
      </c>
      <c r="C162" s="97">
        <v>13130.225216997851</v>
      </c>
      <c r="D162" s="97">
        <v>13097.524944196059</v>
      </c>
      <c r="E162" s="98">
        <v>13392.829721337808</v>
      </c>
      <c r="F162" s="98">
        <v>13359.47544307998</v>
      </c>
      <c r="G162" s="1132">
        <v>0.24966757414943969</v>
      </c>
      <c r="H162" s="99">
        <v>290.76284379865075</v>
      </c>
      <c r="I162" s="99">
        <v>4.5406658445367256</v>
      </c>
      <c r="J162" s="99">
        <v>40.043604651162788</v>
      </c>
      <c r="K162" s="99">
        <v>23.408649173955297</v>
      </c>
      <c r="L162" s="1133">
        <v>-0.28281088114112407</v>
      </c>
    </row>
    <row r="163" spans="1:12" ht="15" thickBot="1">
      <c r="A163" s="35"/>
      <c r="B163" s="43"/>
      <c r="C163" s="86"/>
      <c r="D163" s="86"/>
      <c r="E163" s="86"/>
      <c r="F163" s="86"/>
      <c r="G163" s="1124"/>
      <c r="H163" s="85"/>
      <c r="I163" s="85"/>
      <c r="J163" s="85"/>
      <c r="K163" s="85"/>
      <c r="L163" s="1125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34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35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30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36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30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36" t="s">
        <v>100</v>
      </c>
    </row>
    <row r="167" spans="1:12" ht="14.25">
      <c r="A167" s="44" t="s">
        <v>113</v>
      </c>
      <c r="B167" s="48" t="s">
        <v>28</v>
      </c>
      <c r="C167" s="105" t="s">
        <v>257</v>
      </c>
      <c r="D167" s="105" t="s">
        <v>100</v>
      </c>
      <c r="E167" s="106" t="s">
        <v>257</v>
      </c>
      <c r="F167" s="106" t="s">
        <v>100</v>
      </c>
      <c r="G167" s="1137" t="s">
        <v>100</v>
      </c>
      <c r="H167" s="107" t="s">
        <v>257</v>
      </c>
      <c r="I167" s="107" t="s">
        <v>100</v>
      </c>
      <c r="J167" s="108" t="s">
        <v>100</v>
      </c>
      <c r="K167" s="108" t="s">
        <v>257</v>
      </c>
      <c r="L167" s="1138" t="s">
        <v>100</v>
      </c>
    </row>
    <row r="168" spans="1:12" ht="15">
      <c r="A168" s="46" t="s">
        <v>113</v>
      </c>
      <c r="B168" s="47" t="s">
        <v>29</v>
      </c>
      <c r="C168" s="94" t="s">
        <v>257</v>
      </c>
      <c r="D168" s="94" t="s">
        <v>100</v>
      </c>
      <c r="E168" s="95" t="s">
        <v>257</v>
      </c>
      <c r="F168" s="95" t="s">
        <v>100</v>
      </c>
      <c r="G168" s="1130" t="s">
        <v>100</v>
      </c>
      <c r="H168" s="96" t="s">
        <v>257</v>
      </c>
      <c r="I168" s="96" t="s">
        <v>100</v>
      </c>
      <c r="J168" s="104" t="s">
        <v>100</v>
      </c>
      <c r="K168" s="104" t="s">
        <v>257</v>
      </c>
      <c r="L168" s="1136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100</v>
      </c>
      <c r="E169" s="95" t="s">
        <v>100</v>
      </c>
      <c r="F169" s="95" t="s">
        <v>100</v>
      </c>
      <c r="G169" s="1130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136" t="s">
        <v>100</v>
      </c>
    </row>
    <row r="170" spans="1:12" ht="14.25">
      <c r="A170" s="44" t="s">
        <v>113</v>
      </c>
      <c r="B170" s="48" t="s">
        <v>31</v>
      </c>
      <c r="C170" s="105" t="s">
        <v>257</v>
      </c>
      <c r="D170" s="105" t="s">
        <v>257</v>
      </c>
      <c r="E170" s="106" t="s">
        <v>257</v>
      </c>
      <c r="F170" s="106" t="s">
        <v>257</v>
      </c>
      <c r="G170" s="1149" t="s">
        <v>100</v>
      </c>
      <c r="H170" s="107" t="s">
        <v>257</v>
      </c>
      <c r="I170" s="107" t="s">
        <v>100</v>
      </c>
      <c r="J170" s="108" t="s">
        <v>100</v>
      </c>
      <c r="K170" s="108" t="s">
        <v>257</v>
      </c>
      <c r="L170" s="1138" t="s">
        <v>100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257</v>
      </c>
      <c r="E171" s="95" t="s">
        <v>257</v>
      </c>
      <c r="F171" s="95" t="s">
        <v>257</v>
      </c>
      <c r="G171" s="1130" t="s">
        <v>100</v>
      </c>
      <c r="H171" s="96" t="s">
        <v>257</v>
      </c>
      <c r="I171" s="96" t="s">
        <v>100</v>
      </c>
      <c r="J171" s="104" t="s">
        <v>100</v>
      </c>
      <c r="K171" s="104" t="s">
        <v>257</v>
      </c>
      <c r="L171" s="1136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 t="s">
        <v>257</v>
      </c>
      <c r="G172" s="1139" t="s">
        <v>100</v>
      </c>
      <c r="H172" s="104" t="s">
        <v>257</v>
      </c>
      <c r="I172" s="104" t="s">
        <v>100</v>
      </c>
      <c r="J172" s="104" t="s">
        <v>100</v>
      </c>
      <c r="K172" s="104" t="s">
        <v>257</v>
      </c>
      <c r="L172" s="1136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24"/>
      <c r="H173" s="85"/>
      <c r="I173" s="85"/>
      <c r="J173" s="85"/>
      <c r="K173" s="85"/>
      <c r="L173" s="1125"/>
    </row>
    <row r="174" spans="1:12" ht="14.25">
      <c r="A174" s="44" t="s">
        <v>114</v>
      </c>
      <c r="B174" s="45" t="s">
        <v>25</v>
      </c>
      <c r="C174" s="100">
        <v>13515.683177689287</v>
      </c>
      <c r="D174" s="100">
        <v>13391.603039796755</v>
      </c>
      <c r="E174" s="101">
        <v>13785.996841243074</v>
      </c>
      <c r="F174" s="101">
        <v>13659.435100592691</v>
      </c>
      <c r="G174" s="1134">
        <v>0.9265517916249032</v>
      </c>
      <c r="H174" s="102">
        <v>417.15527638190952</v>
      </c>
      <c r="I174" s="102">
        <v>-1.7937853990710704</v>
      </c>
      <c r="J174" s="103">
        <v>39.16083916083916</v>
      </c>
      <c r="K174" s="103">
        <v>2.4173955296404275</v>
      </c>
      <c r="L174" s="1135">
        <v>-4.4725682480784457E-2</v>
      </c>
    </row>
    <row r="175" spans="1:12" ht="15">
      <c r="A175" s="46" t="s">
        <v>114</v>
      </c>
      <c r="B175" s="47" t="s">
        <v>26</v>
      </c>
      <c r="C175" s="94">
        <v>13570.207843137254</v>
      </c>
      <c r="D175" s="94">
        <v>13530.41274509804</v>
      </c>
      <c r="E175" s="95">
        <v>13841.611999999999</v>
      </c>
      <c r="F175" s="95">
        <v>13801.021000000001</v>
      </c>
      <c r="G175" s="1130">
        <v>0.29411592084381677</v>
      </c>
      <c r="H175" s="96">
        <v>406.7</v>
      </c>
      <c r="I175" s="96">
        <v>0.46936758893280067</v>
      </c>
      <c r="J175" s="104">
        <v>42.028985507246375</v>
      </c>
      <c r="K175" s="104">
        <v>1.1904761904761905</v>
      </c>
      <c r="L175" s="1136">
        <v>2.4596615505705355E-3</v>
      </c>
    </row>
    <row r="176" spans="1:12" ht="15">
      <c r="A176" s="46" t="s">
        <v>114</v>
      </c>
      <c r="B176" s="47" t="s">
        <v>27</v>
      </c>
      <c r="C176" s="94">
        <v>13465.327450980392</v>
      </c>
      <c r="D176" s="94">
        <v>13273.439215686274</v>
      </c>
      <c r="E176" s="95">
        <v>13734.634</v>
      </c>
      <c r="F176" s="95">
        <v>13538.907999999999</v>
      </c>
      <c r="G176" s="1130">
        <v>1.4456557353074604</v>
      </c>
      <c r="H176" s="96">
        <v>427.3</v>
      </c>
      <c r="I176" s="96">
        <v>-3.6310329273793336</v>
      </c>
      <c r="J176" s="104">
        <v>36.486486486486484</v>
      </c>
      <c r="K176" s="104">
        <v>1.226919339164237</v>
      </c>
      <c r="L176" s="1136">
        <v>-4.7185344031355214E-2</v>
      </c>
    </row>
    <row r="177" spans="1:12" ht="14.25">
      <c r="A177" s="44" t="s">
        <v>114</v>
      </c>
      <c r="B177" s="48" t="s">
        <v>28</v>
      </c>
      <c r="C177" s="105">
        <v>12975.32441591114</v>
      </c>
      <c r="D177" s="105">
        <v>12875.517063744577</v>
      </c>
      <c r="E177" s="106">
        <v>13234.830904229362</v>
      </c>
      <c r="F177" s="106">
        <v>13133.027405019469</v>
      </c>
      <c r="G177" s="1137">
        <v>0.77517160415719022</v>
      </c>
      <c r="H177" s="107">
        <v>381.2208440999139</v>
      </c>
      <c r="I177" s="107">
        <v>-0.85253604794092808</v>
      </c>
      <c r="J177" s="108">
        <v>93.178036605657226</v>
      </c>
      <c r="K177" s="108">
        <v>14.103498542274053</v>
      </c>
      <c r="L177" s="1138">
        <v>3.7557023990233649</v>
      </c>
    </row>
    <row r="178" spans="1:12" ht="15">
      <c r="A178" s="46" t="s">
        <v>114</v>
      </c>
      <c r="B178" s="47" t="s">
        <v>29</v>
      </c>
      <c r="C178" s="94">
        <v>12945.05</v>
      </c>
      <c r="D178" s="94">
        <v>12878.338235294119</v>
      </c>
      <c r="E178" s="95">
        <v>13203.950999999999</v>
      </c>
      <c r="F178" s="95">
        <v>13135.905000000001</v>
      </c>
      <c r="G178" s="1130">
        <v>0.51801531755899921</v>
      </c>
      <c r="H178" s="96">
        <v>368.4</v>
      </c>
      <c r="I178" s="96">
        <v>-0.10845986984816543</v>
      </c>
      <c r="J178" s="104">
        <v>121.21212121212122</v>
      </c>
      <c r="K178" s="104">
        <v>6.2074829931972788</v>
      </c>
      <c r="L178" s="1136">
        <v>2.2302102659245517</v>
      </c>
    </row>
    <row r="179" spans="1:12" ht="15">
      <c r="A179" s="46" t="s">
        <v>114</v>
      </c>
      <c r="B179" s="47" t="s">
        <v>30</v>
      </c>
      <c r="C179" s="94">
        <v>12997.729411764705</v>
      </c>
      <c r="D179" s="94">
        <v>12873.869607843137</v>
      </c>
      <c r="E179" s="95">
        <v>13257.683999999999</v>
      </c>
      <c r="F179" s="95">
        <v>13131.347</v>
      </c>
      <c r="G179" s="1130">
        <v>0.96210236466982046</v>
      </c>
      <c r="H179" s="96">
        <v>391.3</v>
      </c>
      <c r="I179" s="96">
        <v>-0.76084199847831591</v>
      </c>
      <c r="J179" s="104">
        <v>75.675675675675677</v>
      </c>
      <c r="K179" s="104">
        <v>7.8960155490767736</v>
      </c>
      <c r="L179" s="1136">
        <v>1.5254921330988118</v>
      </c>
    </row>
    <row r="180" spans="1:12" ht="14.25">
      <c r="A180" s="44" t="s">
        <v>114</v>
      </c>
      <c r="B180" s="48" t="s">
        <v>31</v>
      </c>
      <c r="C180" s="105">
        <v>12477.147576505578</v>
      </c>
      <c r="D180" s="105">
        <v>12384.368653199237</v>
      </c>
      <c r="E180" s="106">
        <v>12726.69052803569</v>
      </c>
      <c r="F180" s="106">
        <v>12632.056026263223</v>
      </c>
      <c r="G180" s="1137">
        <v>0.74916151080800386</v>
      </c>
      <c r="H180" s="107">
        <v>337.6201526717557</v>
      </c>
      <c r="I180" s="107">
        <v>0.50330243433226252</v>
      </c>
      <c r="J180" s="108">
        <v>62.800331400165696</v>
      </c>
      <c r="K180" s="108">
        <v>23.870262390670554</v>
      </c>
      <c r="L180" s="1138">
        <v>3.0885819498992042</v>
      </c>
    </row>
    <row r="181" spans="1:12" ht="15">
      <c r="A181" s="46" t="s">
        <v>114</v>
      </c>
      <c r="B181" s="47" t="s">
        <v>32</v>
      </c>
      <c r="C181" s="94">
        <v>12430.169607843136</v>
      </c>
      <c r="D181" s="94">
        <v>12303.298039215686</v>
      </c>
      <c r="E181" s="95">
        <v>12678.772999999999</v>
      </c>
      <c r="F181" s="95">
        <v>12549.364</v>
      </c>
      <c r="G181" s="1130">
        <v>1.0311996687640876</v>
      </c>
      <c r="H181" s="96">
        <v>327.2</v>
      </c>
      <c r="I181" s="96">
        <v>0.70791012619267824</v>
      </c>
      <c r="J181" s="104">
        <v>81.958762886597938</v>
      </c>
      <c r="K181" s="104">
        <v>12.864431486880468</v>
      </c>
      <c r="L181" s="1136">
        <v>2.8437703298556745</v>
      </c>
    </row>
    <row r="182" spans="1:12" ht="15.75" thickBot="1">
      <c r="A182" s="49" t="s">
        <v>114</v>
      </c>
      <c r="B182" s="50" t="s">
        <v>33</v>
      </c>
      <c r="C182" s="109">
        <v>12528.522549019608</v>
      </c>
      <c r="D182" s="109">
        <v>12455.222549019607</v>
      </c>
      <c r="E182" s="110">
        <v>12779.093000000001</v>
      </c>
      <c r="F182" s="110">
        <v>12704.326999999999</v>
      </c>
      <c r="G182" s="1139">
        <v>0.58850815159277181</v>
      </c>
      <c r="H182" s="104">
        <v>349.8</v>
      </c>
      <c r="I182" s="104">
        <v>1.0398613518197641</v>
      </c>
      <c r="J182" s="104">
        <v>44.96</v>
      </c>
      <c r="K182" s="104">
        <v>11.005830903790088</v>
      </c>
      <c r="L182" s="1136">
        <v>0.24481162004353152</v>
      </c>
    </row>
    <row r="183" spans="1:12" ht="15.75" thickBot="1">
      <c r="A183" s="51"/>
      <c r="B183" s="52"/>
      <c r="C183" s="111"/>
      <c r="D183" s="111"/>
      <c r="E183" s="111"/>
      <c r="F183" s="111"/>
      <c r="G183" s="1140"/>
      <c r="H183" s="112"/>
      <c r="I183" s="112"/>
      <c r="J183" s="112"/>
      <c r="K183" s="112"/>
      <c r="L183" s="1141"/>
    </row>
    <row r="184" spans="1:12" ht="15">
      <c r="A184" s="46" t="s">
        <v>115</v>
      </c>
      <c r="B184" s="53" t="s">
        <v>30</v>
      </c>
      <c r="C184" s="113">
        <v>12677.88725490196</v>
      </c>
      <c r="D184" s="113">
        <v>12599.007843137255</v>
      </c>
      <c r="E184" s="114">
        <v>12931.445</v>
      </c>
      <c r="F184" s="114">
        <v>12850.987999999999</v>
      </c>
      <c r="G184" s="1142">
        <v>0.6260763763844488</v>
      </c>
      <c r="H184" s="115">
        <v>414.3</v>
      </c>
      <c r="I184" s="115">
        <v>1.1474609374999973</v>
      </c>
      <c r="J184" s="115">
        <v>24.404761904761905</v>
      </c>
      <c r="K184" s="115">
        <v>2.5388726919339164</v>
      </c>
      <c r="L184" s="1143">
        <v>-0.35368929153715811</v>
      </c>
    </row>
    <row r="185" spans="1:12" ht="15.75" thickBot="1">
      <c r="A185" s="49" t="s">
        <v>115</v>
      </c>
      <c r="B185" s="50" t="s">
        <v>33</v>
      </c>
      <c r="C185" s="109">
        <v>12398.226470588235</v>
      </c>
      <c r="D185" s="109">
        <v>12266.756862745098</v>
      </c>
      <c r="E185" s="110">
        <v>12646.191000000001</v>
      </c>
      <c r="F185" s="110">
        <v>12512.092000000001</v>
      </c>
      <c r="G185" s="1139">
        <v>1.0717552268637422</v>
      </c>
      <c r="H185" s="104">
        <v>372.4</v>
      </c>
      <c r="I185" s="104">
        <v>3.501945525291819</v>
      </c>
      <c r="J185" s="104">
        <v>-7.4441687344913143</v>
      </c>
      <c r="K185" s="104">
        <v>4.5310981535471333</v>
      </c>
      <c r="L185" s="1136">
        <v>-2.4076070806126459</v>
      </c>
    </row>
    <row r="186" spans="1:12" ht="15.75" thickBot="1">
      <c r="A186" s="51"/>
      <c r="B186" s="52"/>
      <c r="C186" s="111"/>
      <c r="D186" s="111"/>
      <c r="E186" s="111"/>
      <c r="F186" s="111"/>
      <c r="G186" s="1140"/>
      <c r="H186" s="112"/>
      <c r="I186" s="112"/>
      <c r="J186" s="112"/>
      <c r="K186" s="112"/>
      <c r="L186" s="1141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34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35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30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36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30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36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30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36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7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8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30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36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30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36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7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8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30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36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9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36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40"/>
      <c r="H197" s="112"/>
      <c r="I197" s="112"/>
      <c r="J197" s="112"/>
      <c r="K197" s="112"/>
      <c r="L197" s="1141"/>
    </row>
    <row r="198" spans="1:12" ht="14.25">
      <c r="A198" s="44" t="s">
        <v>24</v>
      </c>
      <c r="B198" s="45" t="s">
        <v>28</v>
      </c>
      <c r="C198" s="100">
        <v>11916.878881339089</v>
      </c>
      <c r="D198" s="100">
        <v>11887.543828807082</v>
      </c>
      <c r="E198" s="101">
        <v>12155.216458965871</v>
      </c>
      <c r="F198" s="101">
        <v>12125.294705383223</v>
      </c>
      <c r="G198" s="1134">
        <v>0.24677135120983124</v>
      </c>
      <c r="H198" s="102">
        <v>357.5644897959184</v>
      </c>
      <c r="I198" s="102">
        <v>9.4231425486779852</v>
      </c>
      <c r="J198" s="103">
        <v>11.363636363636363</v>
      </c>
      <c r="K198" s="103">
        <v>2.9761904761904758</v>
      </c>
      <c r="L198" s="1135">
        <v>-0.81168831168831224</v>
      </c>
    </row>
    <row r="199" spans="1:12" ht="15">
      <c r="A199" s="46" t="s">
        <v>24</v>
      </c>
      <c r="B199" s="47" t="s">
        <v>29</v>
      </c>
      <c r="C199" s="94">
        <v>11614.057843137254</v>
      </c>
      <c r="D199" s="94">
        <v>11562.52843137255</v>
      </c>
      <c r="E199" s="95">
        <v>11846.339</v>
      </c>
      <c r="F199" s="95">
        <v>11793.779</v>
      </c>
      <c r="G199" s="1130">
        <v>0.44565868158119198</v>
      </c>
      <c r="H199" s="96">
        <v>337.2</v>
      </c>
      <c r="I199" s="96">
        <v>91.918042117245307</v>
      </c>
      <c r="J199" s="104">
        <v>-8.5714285714285712</v>
      </c>
      <c r="K199" s="104">
        <v>0.3887269193391642</v>
      </c>
      <c r="L199" s="1136">
        <v>-0.21389016055064297</v>
      </c>
    </row>
    <row r="200" spans="1:12" ht="15">
      <c r="A200" s="46" t="s">
        <v>24</v>
      </c>
      <c r="B200" s="47" t="s">
        <v>30</v>
      </c>
      <c r="C200" s="94">
        <v>11975.808823529413</v>
      </c>
      <c r="D200" s="94">
        <v>11859.047058823528</v>
      </c>
      <c r="E200" s="95">
        <v>12215.325000000001</v>
      </c>
      <c r="F200" s="95">
        <v>12096.227999999999</v>
      </c>
      <c r="G200" s="1130">
        <v>0.984579655740629</v>
      </c>
      <c r="H200" s="96">
        <v>349.8</v>
      </c>
      <c r="I200" s="96">
        <v>0.4018369690011579</v>
      </c>
      <c r="J200" s="104">
        <v>6.7796610169491522</v>
      </c>
      <c r="K200" s="104">
        <v>1.5306122448979591</v>
      </c>
      <c r="L200" s="1136">
        <v>-0.50106819587339069</v>
      </c>
    </row>
    <row r="201" spans="1:12" ht="15">
      <c r="A201" s="46" t="s">
        <v>24</v>
      </c>
      <c r="B201" s="47" t="s">
        <v>35</v>
      </c>
      <c r="C201" s="94">
        <v>11937.33725490196</v>
      </c>
      <c r="D201" s="94">
        <v>12016.262745098038</v>
      </c>
      <c r="E201" s="95">
        <v>12176.084000000001</v>
      </c>
      <c r="F201" s="95">
        <v>12256.588</v>
      </c>
      <c r="G201" s="1130">
        <v>-0.65682227386609549</v>
      </c>
      <c r="H201" s="96">
        <v>376.3</v>
      </c>
      <c r="I201" s="96">
        <v>2.3667029379760578</v>
      </c>
      <c r="J201" s="104">
        <v>29.850746268656714</v>
      </c>
      <c r="K201" s="104">
        <v>1.0568513119533527</v>
      </c>
      <c r="L201" s="1136">
        <v>-9.6729955264278189E-2</v>
      </c>
    </row>
    <row r="202" spans="1:12" ht="14.25">
      <c r="A202" s="44" t="s">
        <v>24</v>
      </c>
      <c r="B202" s="48" t="s">
        <v>31</v>
      </c>
      <c r="C202" s="105">
        <v>11289.542027035757</v>
      </c>
      <c r="D202" s="105">
        <v>11277.439141324006</v>
      </c>
      <c r="E202" s="106">
        <v>11515.332867576473</v>
      </c>
      <c r="F202" s="106">
        <v>11502.987924150486</v>
      </c>
      <c r="G202" s="1137">
        <v>0.10731945045399202</v>
      </c>
      <c r="H202" s="107">
        <v>299.78295755968173</v>
      </c>
      <c r="I202" s="107">
        <v>1.000056407782004</v>
      </c>
      <c r="J202" s="108">
        <v>18.089271730618638</v>
      </c>
      <c r="K202" s="108">
        <v>18.318756073858115</v>
      </c>
      <c r="L202" s="1138">
        <v>-3.6681585266928494</v>
      </c>
    </row>
    <row r="203" spans="1:12" ht="15">
      <c r="A203" s="46" t="s">
        <v>24</v>
      </c>
      <c r="B203" s="47" t="s">
        <v>32</v>
      </c>
      <c r="C203" s="94">
        <v>10930.380392156861</v>
      </c>
      <c r="D203" s="94">
        <v>10923.758823529412</v>
      </c>
      <c r="E203" s="95">
        <v>11148.987999999999</v>
      </c>
      <c r="F203" s="95">
        <v>11142.234</v>
      </c>
      <c r="G203" s="1130">
        <v>6.0616210357806122E-2</v>
      </c>
      <c r="H203" s="96">
        <v>275.5</v>
      </c>
      <c r="I203" s="96">
        <v>1.1751744399559267</v>
      </c>
      <c r="J203" s="104">
        <v>33.650793650793652</v>
      </c>
      <c r="K203" s="104">
        <v>5.1141885325558789</v>
      </c>
      <c r="L203" s="1136">
        <v>-0.30936518645238564</v>
      </c>
    </row>
    <row r="204" spans="1:12" ht="15">
      <c r="A204" s="46" t="s">
        <v>24</v>
      </c>
      <c r="B204" s="47" t="s">
        <v>33</v>
      </c>
      <c r="C204" s="94">
        <v>11381.929411764704</v>
      </c>
      <c r="D204" s="94">
        <v>11329.764705882353</v>
      </c>
      <c r="E204" s="95">
        <v>11609.567999999999</v>
      </c>
      <c r="F204" s="95">
        <v>11556.36</v>
      </c>
      <c r="G204" s="1130">
        <v>0.46042179371358039</v>
      </c>
      <c r="H204" s="96">
        <v>300.8</v>
      </c>
      <c r="I204" s="96">
        <v>1.6903313049357673</v>
      </c>
      <c r="J204" s="104">
        <v>18.53448275862069</v>
      </c>
      <c r="K204" s="104">
        <v>10.021865889212828</v>
      </c>
      <c r="L204" s="1136">
        <v>-1.961605185167338</v>
      </c>
    </row>
    <row r="205" spans="1:12" ht="15">
      <c r="A205" s="46" t="s">
        <v>24</v>
      </c>
      <c r="B205" s="47" t="s">
        <v>36</v>
      </c>
      <c r="C205" s="94">
        <v>11502.560784313724</v>
      </c>
      <c r="D205" s="94">
        <v>11501.283333333333</v>
      </c>
      <c r="E205" s="95">
        <v>11732.611999999999</v>
      </c>
      <c r="F205" s="95">
        <v>11731.308999999999</v>
      </c>
      <c r="G205" s="1130">
        <v>1.110702991456353E-2</v>
      </c>
      <c r="H205" s="96">
        <v>335.6</v>
      </c>
      <c r="I205" s="96">
        <v>2.161339421613401</v>
      </c>
      <c r="J205" s="104">
        <v>-1.5037593984962405</v>
      </c>
      <c r="K205" s="104">
        <v>3.1827016520894071</v>
      </c>
      <c r="L205" s="1136">
        <v>-1.3971881550731267</v>
      </c>
    </row>
    <row r="206" spans="1:12" ht="14.25">
      <c r="A206" s="44" t="s">
        <v>24</v>
      </c>
      <c r="B206" s="48" t="s">
        <v>37</v>
      </c>
      <c r="C206" s="105">
        <v>8744.8545544074113</v>
      </c>
      <c r="D206" s="105">
        <v>8920.5600727148885</v>
      </c>
      <c r="E206" s="106">
        <v>8919.7516454955603</v>
      </c>
      <c r="F206" s="106">
        <v>9098.9712741691856</v>
      </c>
      <c r="G206" s="1137">
        <v>-1.9696691337229171</v>
      </c>
      <c r="H206" s="107">
        <v>223.07641509433964</v>
      </c>
      <c r="I206" s="107">
        <v>-1.7935576974639111</v>
      </c>
      <c r="J206" s="108">
        <v>55.882352941176471</v>
      </c>
      <c r="K206" s="108">
        <v>7.7259475218658888</v>
      </c>
      <c r="L206" s="1138">
        <v>0.70115413343613664</v>
      </c>
    </row>
    <row r="207" spans="1:12" ht="15">
      <c r="A207" s="46" t="s">
        <v>24</v>
      </c>
      <c r="B207" s="47" t="s">
        <v>102</v>
      </c>
      <c r="C207" s="116">
        <v>8360.5323529411762</v>
      </c>
      <c r="D207" s="116">
        <v>8563.0999999999985</v>
      </c>
      <c r="E207" s="117">
        <v>8527.7430000000004</v>
      </c>
      <c r="F207" s="117">
        <v>8734.3619999999992</v>
      </c>
      <c r="G207" s="1144">
        <v>-2.3655877784776815</v>
      </c>
      <c r="H207" s="118">
        <v>205.7</v>
      </c>
      <c r="I207" s="118">
        <v>-2.5580293699668433</v>
      </c>
      <c r="J207" s="119">
        <v>56.88073394495413</v>
      </c>
      <c r="K207" s="119">
        <v>4.1545189504373177</v>
      </c>
      <c r="L207" s="1145">
        <v>0.40107542426651888</v>
      </c>
    </row>
    <row r="208" spans="1:12" ht="15">
      <c r="A208" s="46" t="s">
        <v>24</v>
      </c>
      <c r="B208" s="47" t="s">
        <v>38</v>
      </c>
      <c r="C208" s="94">
        <v>8865.7431372549036</v>
      </c>
      <c r="D208" s="94">
        <v>9089.6627450980395</v>
      </c>
      <c r="E208" s="95">
        <v>9043.0580000000009</v>
      </c>
      <c r="F208" s="95">
        <v>9271.4560000000001</v>
      </c>
      <c r="G208" s="1130">
        <v>-2.4634534209082073</v>
      </c>
      <c r="H208" s="96">
        <v>238</v>
      </c>
      <c r="I208" s="96">
        <v>-0.20964360587002098</v>
      </c>
      <c r="J208" s="104">
        <v>63.12056737588653</v>
      </c>
      <c r="K208" s="104">
        <v>2.7939747327502431</v>
      </c>
      <c r="L208" s="1136">
        <v>0.36628878233702</v>
      </c>
    </row>
    <row r="209" spans="1:12" ht="15.75" thickBot="1">
      <c r="A209" s="46" t="s">
        <v>24</v>
      </c>
      <c r="B209" s="47" t="s">
        <v>39</v>
      </c>
      <c r="C209" s="94">
        <v>9960.8754901960783</v>
      </c>
      <c r="D209" s="94">
        <v>9746.6068627450986</v>
      </c>
      <c r="E209" s="95">
        <v>10160.093000000001</v>
      </c>
      <c r="F209" s="95">
        <v>9941.5390000000007</v>
      </c>
      <c r="G209" s="1130">
        <v>2.1983920195857007</v>
      </c>
      <c r="H209" s="96">
        <v>262.3</v>
      </c>
      <c r="I209" s="96">
        <v>-1.3538924407671931</v>
      </c>
      <c r="J209" s="104">
        <v>30.612244897959183</v>
      </c>
      <c r="K209" s="104">
        <v>0.7774538386783284</v>
      </c>
      <c r="L209" s="1136">
        <v>-6.6210073167401684E-2</v>
      </c>
    </row>
    <row r="210" spans="1:12" ht="15.75" thickBot="1">
      <c r="A210" s="51"/>
      <c r="B210" s="52"/>
      <c r="C210" s="111"/>
      <c r="D210" s="111"/>
      <c r="E210" s="111"/>
      <c r="F210" s="111"/>
      <c r="G210" s="1140"/>
      <c r="H210" s="112"/>
      <c r="I210" s="112"/>
      <c r="J210" s="112"/>
      <c r="K210" s="112"/>
      <c r="L210" s="1141"/>
    </row>
    <row r="211" spans="1:12" ht="14.25">
      <c r="A211" s="44" t="s">
        <v>117</v>
      </c>
      <c r="B211" s="48" t="s">
        <v>25</v>
      </c>
      <c r="C211" s="105">
        <v>14025.660260573113</v>
      </c>
      <c r="D211" s="105">
        <v>14283.65940750737</v>
      </c>
      <c r="E211" s="106">
        <v>14306.173465784575</v>
      </c>
      <c r="F211" s="106">
        <v>14569.332595657517</v>
      </c>
      <c r="G211" s="1137">
        <v>-1.8062538427558312</v>
      </c>
      <c r="H211" s="107">
        <v>340.64647887323946</v>
      </c>
      <c r="I211" s="107">
        <v>3.2748404720475284</v>
      </c>
      <c r="J211" s="108">
        <v>91.891891891891902</v>
      </c>
      <c r="K211" s="108">
        <v>1.7249757045675413</v>
      </c>
      <c r="L211" s="1138">
        <v>0.45087102137194912</v>
      </c>
    </row>
    <row r="212" spans="1:12" ht="15">
      <c r="A212" s="46" t="s">
        <v>117</v>
      </c>
      <c r="B212" s="47" t="s">
        <v>26</v>
      </c>
      <c r="C212" s="94">
        <v>13665.924509803921</v>
      </c>
      <c r="D212" s="94">
        <v>14126.017647058823</v>
      </c>
      <c r="E212" s="95">
        <v>13939.243</v>
      </c>
      <c r="F212" s="95">
        <v>14408.538</v>
      </c>
      <c r="G212" s="1130">
        <v>-3.2570618892770389</v>
      </c>
      <c r="H212" s="96">
        <v>340.6</v>
      </c>
      <c r="I212" s="96">
        <v>11.929017417022678</v>
      </c>
      <c r="J212" s="104">
        <v>157.14285714285714</v>
      </c>
      <c r="K212" s="104">
        <v>0.21865889212827988</v>
      </c>
      <c r="L212" s="1136">
        <v>9.8135476150318451E-2</v>
      </c>
    </row>
    <row r="213" spans="1:12" ht="15">
      <c r="A213" s="46" t="s">
        <v>117</v>
      </c>
      <c r="B213" s="47" t="s">
        <v>27</v>
      </c>
      <c r="C213" s="94">
        <v>14037.489215686273</v>
      </c>
      <c r="D213" s="94">
        <v>14211.845098039215</v>
      </c>
      <c r="E213" s="95">
        <v>14318.239</v>
      </c>
      <c r="F213" s="95">
        <v>14496.082</v>
      </c>
      <c r="G213" s="1130">
        <v>-1.226834947539623</v>
      </c>
      <c r="H213" s="96">
        <v>331.5</v>
      </c>
      <c r="I213" s="96">
        <v>0.85184058411926122</v>
      </c>
      <c r="J213" s="104">
        <v>131.25</v>
      </c>
      <c r="K213" s="104">
        <v>0.89893100097181733</v>
      </c>
      <c r="L213" s="1136">
        <v>0.34796681364399362</v>
      </c>
    </row>
    <row r="214" spans="1:12" ht="15">
      <c r="A214" s="46" t="s">
        <v>117</v>
      </c>
      <c r="B214" s="47" t="s">
        <v>34</v>
      </c>
      <c r="C214" s="94">
        <v>14133.792156862746</v>
      </c>
      <c r="D214" s="94">
        <v>14376.453921568627</v>
      </c>
      <c r="E214" s="95">
        <v>14416.468000000001</v>
      </c>
      <c r="F214" s="95">
        <v>14663.983</v>
      </c>
      <c r="G214" s="1130">
        <v>-1.687911122100997</v>
      </c>
      <c r="H214" s="96">
        <v>354.2</v>
      </c>
      <c r="I214" s="96">
        <v>5.4166666666666634</v>
      </c>
      <c r="J214" s="104">
        <v>42.857142857142854</v>
      </c>
      <c r="K214" s="104">
        <v>0.60738581146744419</v>
      </c>
      <c r="L214" s="1136">
        <v>4.7687315776370198E-3</v>
      </c>
    </row>
    <row r="215" spans="1:12" ht="14.25">
      <c r="A215" s="44" t="s">
        <v>117</v>
      </c>
      <c r="B215" s="48" t="s">
        <v>28</v>
      </c>
      <c r="C215" s="105">
        <v>13535.379054678537</v>
      </c>
      <c r="D215" s="105">
        <v>13561.701011277275</v>
      </c>
      <c r="E215" s="106">
        <v>13806.086635772108</v>
      </c>
      <c r="F215" s="106">
        <v>13832.93503150282</v>
      </c>
      <c r="G215" s="1137">
        <v>-0.19409037684026303</v>
      </c>
      <c r="H215" s="107">
        <v>306.99191438763376</v>
      </c>
      <c r="I215" s="107">
        <v>6.8784936562213987</v>
      </c>
      <c r="J215" s="108">
        <v>48.063380281690144</v>
      </c>
      <c r="K215" s="108">
        <v>10.216229348882411</v>
      </c>
      <c r="L215" s="1138">
        <v>0.43661502381354111</v>
      </c>
    </row>
    <row r="216" spans="1:12" ht="15">
      <c r="A216" s="46" t="s">
        <v>117</v>
      </c>
      <c r="B216" s="47" t="s">
        <v>29</v>
      </c>
      <c r="C216" s="94">
        <v>13282.005882352942</v>
      </c>
      <c r="D216" s="94">
        <v>13251.829411764706</v>
      </c>
      <c r="E216" s="95">
        <v>13547.646000000001</v>
      </c>
      <c r="F216" s="95">
        <v>13516.866</v>
      </c>
      <c r="G216" s="1130">
        <v>0.22771550742606059</v>
      </c>
      <c r="H216" s="96">
        <v>278.39999999999998</v>
      </c>
      <c r="I216" s="96">
        <v>-2.0408163265306163</v>
      </c>
      <c r="J216" s="104">
        <v>113.88888888888889</v>
      </c>
      <c r="K216" s="104">
        <v>0.93537414965986398</v>
      </c>
      <c r="L216" s="1136">
        <v>0.31553943891606229</v>
      </c>
    </row>
    <row r="217" spans="1:12" ht="15">
      <c r="A217" s="46" t="s">
        <v>117</v>
      </c>
      <c r="B217" s="47" t="s">
        <v>30</v>
      </c>
      <c r="C217" s="94">
        <v>13554.230392156864</v>
      </c>
      <c r="D217" s="94">
        <v>13576.455882352942</v>
      </c>
      <c r="E217" s="95">
        <v>13825.315000000001</v>
      </c>
      <c r="F217" s="95">
        <v>13847.985000000001</v>
      </c>
      <c r="G217" s="1130">
        <v>-0.16370612764239759</v>
      </c>
      <c r="H217" s="96">
        <v>298.60000000000002</v>
      </c>
      <c r="I217" s="96">
        <v>0.87837837837838606</v>
      </c>
      <c r="J217" s="104">
        <v>56.953642384105962</v>
      </c>
      <c r="K217" s="104">
        <v>5.7580174927113701</v>
      </c>
      <c r="L217" s="1136">
        <v>0.55829297480503381</v>
      </c>
    </row>
    <row r="218" spans="1:12" ht="15">
      <c r="A218" s="46" t="s">
        <v>117</v>
      </c>
      <c r="B218" s="47" t="s">
        <v>35</v>
      </c>
      <c r="C218" s="94">
        <v>13564.411764705883</v>
      </c>
      <c r="D218" s="94">
        <v>13590.835294117647</v>
      </c>
      <c r="E218" s="95">
        <v>13835.7</v>
      </c>
      <c r="F218" s="95">
        <v>13862.652</v>
      </c>
      <c r="G218" s="1130">
        <v>-0.19442167342871564</v>
      </c>
      <c r="H218" s="96">
        <v>328.3</v>
      </c>
      <c r="I218" s="96">
        <v>18.863142650253447</v>
      </c>
      <c r="J218" s="104">
        <v>26.086956521739129</v>
      </c>
      <c r="K218" s="104">
        <v>3.5228377065111762</v>
      </c>
      <c r="L218" s="1136">
        <v>-0.43721738990755643</v>
      </c>
    </row>
    <row r="219" spans="1:12" ht="14.25">
      <c r="A219" s="44" t="s">
        <v>117</v>
      </c>
      <c r="B219" s="48" t="s">
        <v>31</v>
      </c>
      <c r="C219" s="105">
        <v>12547.316711289654</v>
      </c>
      <c r="D219" s="105">
        <v>12561.100936436267</v>
      </c>
      <c r="E219" s="106">
        <v>12798.263045515447</v>
      </c>
      <c r="F219" s="106">
        <v>12812.322955164993</v>
      </c>
      <c r="G219" s="1137">
        <v>-0.10973739655757149</v>
      </c>
      <c r="H219" s="107">
        <v>268.80084745762713</v>
      </c>
      <c r="I219" s="107">
        <v>1.0993977759640934</v>
      </c>
      <c r="J219" s="108">
        <v>28.610354223433244</v>
      </c>
      <c r="K219" s="108">
        <v>11.467444120505345</v>
      </c>
      <c r="L219" s="1138">
        <v>-1.1702969263266105</v>
      </c>
    </row>
    <row r="220" spans="1:12" ht="15">
      <c r="A220" s="46" t="s">
        <v>117</v>
      </c>
      <c r="B220" s="47" t="s">
        <v>32</v>
      </c>
      <c r="C220" s="94">
        <v>12305.559803921569</v>
      </c>
      <c r="D220" s="94">
        <v>12263.717647058824</v>
      </c>
      <c r="E220" s="95">
        <v>12551.671</v>
      </c>
      <c r="F220" s="95">
        <v>12508.992</v>
      </c>
      <c r="G220" s="1130">
        <v>0.34118656403329772</v>
      </c>
      <c r="H220" s="96">
        <v>244.5</v>
      </c>
      <c r="I220" s="96">
        <v>0.82474226804123718</v>
      </c>
      <c r="J220" s="104">
        <v>73.972602739726028</v>
      </c>
      <c r="K220" s="104">
        <v>3.0855199222546164</v>
      </c>
      <c r="L220" s="1136">
        <v>0.57174581757142073</v>
      </c>
    </row>
    <row r="221" spans="1:12" ht="15">
      <c r="A221" s="46" t="s">
        <v>117</v>
      </c>
      <c r="B221" s="47" t="s">
        <v>33</v>
      </c>
      <c r="C221" s="94">
        <v>12624.944117647057</v>
      </c>
      <c r="D221" s="94">
        <v>12556.346078431372</v>
      </c>
      <c r="E221" s="95">
        <v>12877.442999999999</v>
      </c>
      <c r="F221" s="95">
        <v>12807.473</v>
      </c>
      <c r="G221" s="1130">
        <v>0.54632166704547691</v>
      </c>
      <c r="H221" s="96">
        <v>271</v>
      </c>
      <c r="I221" s="96">
        <v>3.5932721712538132</v>
      </c>
      <c r="J221" s="96">
        <v>18.76484560570071</v>
      </c>
      <c r="K221" s="96">
        <v>6.0738581146744419</v>
      </c>
      <c r="L221" s="1131">
        <v>-1.1747644748572386</v>
      </c>
    </row>
    <row r="222" spans="1:12" ht="15.75" thickBot="1">
      <c r="A222" s="56" t="s">
        <v>117</v>
      </c>
      <c r="B222" s="57" t="s">
        <v>36</v>
      </c>
      <c r="C222" s="97">
        <v>12627.349019607844</v>
      </c>
      <c r="D222" s="97">
        <v>12783.860784313725</v>
      </c>
      <c r="E222" s="98">
        <v>12879.896000000001</v>
      </c>
      <c r="F222" s="98">
        <v>13039.538</v>
      </c>
      <c r="G222" s="1132">
        <v>-1.2242918422416487</v>
      </c>
      <c r="H222" s="99">
        <v>295.5</v>
      </c>
      <c r="I222" s="99">
        <v>-0.53853921238640956</v>
      </c>
      <c r="J222" s="99">
        <v>13.77245508982036</v>
      </c>
      <c r="K222" s="99">
        <v>2.3080660835762874</v>
      </c>
      <c r="L222" s="1133">
        <v>-0.56727826904079226</v>
      </c>
    </row>
    <row r="223" spans="1:12">
      <c r="G223" s="80"/>
      <c r="H223" s="80"/>
      <c r="I223" s="80"/>
      <c r="J223" s="80"/>
      <c r="K223" s="80"/>
      <c r="L223" s="80"/>
    </row>
    <row r="224" spans="1:12" ht="13.5" thickBot="1">
      <c r="G224" s="80"/>
      <c r="H224" s="80"/>
      <c r="I224" s="80"/>
      <c r="J224" s="80"/>
      <c r="K224" s="80"/>
      <c r="L224" s="1146"/>
    </row>
    <row r="225" spans="1:12" ht="21" thickBot="1">
      <c r="A225" s="1091" t="s">
        <v>329</v>
      </c>
      <c r="B225" s="1081"/>
      <c r="C225" s="1081"/>
      <c r="D225" s="1081"/>
      <c r="E225" s="1081"/>
      <c r="F225" s="1081"/>
      <c r="G225" s="1082"/>
      <c r="H225" s="1082"/>
      <c r="I225" s="1082"/>
      <c r="J225" s="1082"/>
      <c r="K225" s="1082"/>
      <c r="L225" s="1147"/>
    </row>
    <row r="226" spans="1:12">
      <c r="A226" s="27"/>
      <c r="B226" s="28"/>
      <c r="C226" s="3" t="s">
        <v>9</v>
      </c>
      <c r="D226" s="3" t="s">
        <v>9</v>
      </c>
      <c r="E226" s="3"/>
      <c r="F226" s="3"/>
      <c r="G226" s="1083"/>
      <c r="H226" s="1184" t="s">
        <v>10</v>
      </c>
      <c r="I226" s="1185"/>
      <c r="J226" s="1117" t="s">
        <v>11</v>
      </c>
      <c r="K226" s="1084" t="s">
        <v>12</v>
      </c>
      <c r="L226" s="1085"/>
    </row>
    <row r="227" spans="1:12" ht="15.75">
      <c r="A227" s="29" t="s">
        <v>13</v>
      </c>
      <c r="B227" s="30" t="s">
        <v>14</v>
      </c>
      <c r="C227" s="1086" t="s">
        <v>40</v>
      </c>
      <c r="D227" s="1086" t="s">
        <v>40</v>
      </c>
      <c r="E227" s="1087" t="s">
        <v>41</v>
      </c>
      <c r="F227" s="1088"/>
      <c r="G227" s="1118"/>
      <c r="H227" s="1182" t="s">
        <v>15</v>
      </c>
      <c r="I227" s="1183"/>
      <c r="J227" s="1119" t="s">
        <v>16</v>
      </c>
      <c r="K227" s="1089" t="s">
        <v>17</v>
      </c>
      <c r="L227" s="1090"/>
    </row>
    <row r="228" spans="1:12" ht="26.25" thickBot="1">
      <c r="A228" s="31" t="s">
        <v>18</v>
      </c>
      <c r="B228" s="32" t="s">
        <v>19</v>
      </c>
      <c r="C228" s="982" t="s">
        <v>381</v>
      </c>
      <c r="D228" s="1114" t="s">
        <v>375</v>
      </c>
      <c r="E228" s="1076" t="s">
        <v>381</v>
      </c>
      <c r="F228" s="1077" t="s">
        <v>375</v>
      </c>
      <c r="G228" s="1116" t="s">
        <v>20</v>
      </c>
      <c r="H228" s="81" t="s">
        <v>381</v>
      </c>
      <c r="I228" s="996" t="s">
        <v>20</v>
      </c>
      <c r="J228" s="1120" t="s">
        <v>20</v>
      </c>
      <c r="K228" s="1078" t="s">
        <v>381</v>
      </c>
      <c r="L228" s="1121" t="s">
        <v>21</v>
      </c>
    </row>
    <row r="229" spans="1:12" ht="15" thickBot="1">
      <c r="A229" s="33" t="s">
        <v>22</v>
      </c>
      <c r="B229" s="34" t="s">
        <v>23</v>
      </c>
      <c r="C229" s="82">
        <v>11034.79433376302</v>
      </c>
      <c r="D229" s="82">
        <v>10597.334459170377</v>
      </c>
      <c r="E229" s="83">
        <v>11255.490220438282</v>
      </c>
      <c r="F229" s="705">
        <v>10809.329330979659</v>
      </c>
      <c r="G229" s="1122">
        <v>4.1275538546126107</v>
      </c>
      <c r="H229" s="84">
        <v>315.58880358285353</v>
      </c>
      <c r="I229" s="84">
        <v>-26.587941037715158</v>
      </c>
      <c r="J229" s="85">
        <v>45.530726256983236</v>
      </c>
      <c r="K229" s="84">
        <v>100</v>
      </c>
      <c r="L229" s="1123" t="s">
        <v>23</v>
      </c>
    </row>
    <row r="230" spans="1:12" ht="15" thickBot="1">
      <c r="A230" s="35"/>
      <c r="B230" s="36"/>
      <c r="C230" s="86"/>
      <c r="D230" s="86"/>
      <c r="E230" s="86"/>
      <c r="F230" s="86"/>
      <c r="G230" s="1124"/>
      <c r="H230" s="85"/>
      <c r="I230" s="85"/>
      <c r="J230" s="85"/>
      <c r="K230" s="85"/>
      <c r="L230" s="1125"/>
    </row>
    <row r="231" spans="1:12" ht="15">
      <c r="A231" s="37" t="s">
        <v>108</v>
      </c>
      <c r="B231" s="38" t="s">
        <v>23</v>
      </c>
      <c r="C231" s="87" t="s">
        <v>257</v>
      </c>
      <c r="D231" s="87" t="s">
        <v>100</v>
      </c>
      <c r="E231" s="88" t="s">
        <v>257</v>
      </c>
      <c r="F231" s="88" t="s">
        <v>100</v>
      </c>
      <c r="G231" s="1126" t="s">
        <v>100</v>
      </c>
      <c r="H231" s="89" t="s">
        <v>257</v>
      </c>
      <c r="I231" s="89" t="s">
        <v>100</v>
      </c>
      <c r="J231" s="89" t="s">
        <v>100</v>
      </c>
      <c r="K231" s="89" t="s">
        <v>257</v>
      </c>
      <c r="L231" s="1127" t="s">
        <v>100</v>
      </c>
    </row>
    <row r="232" spans="1:12" ht="15">
      <c r="A232" s="46" t="s">
        <v>109</v>
      </c>
      <c r="B232" s="90" t="s">
        <v>23</v>
      </c>
      <c r="C232" s="91">
        <v>12122.856526516231</v>
      </c>
      <c r="D232" s="91">
        <v>12061.09635998261</v>
      </c>
      <c r="E232" s="92">
        <v>12365.313657046556</v>
      </c>
      <c r="F232" s="92">
        <v>12302.318287182263</v>
      </c>
      <c r="G232" s="1128">
        <v>0.51206096602075113</v>
      </c>
      <c r="H232" s="93">
        <v>364.19462915601025</v>
      </c>
      <c r="I232" s="93">
        <v>-7.4272405565865105</v>
      </c>
      <c r="J232" s="93">
        <v>66.38297872340425</v>
      </c>
      <c r="K232" s="93">
        <v>25.015994881637877</v>
      </c>
      <c r="L232" s="1129">
        <v>3.13517551478499</v>
      </c>
    </row>
    <row r="233" spans="1:12" ht="15">
      <c r="A233" s="39" t="s">
        <v>110</v>
      </c>
      <c r="B233" s="40" t="s">
        <v>23</v>
      </c>
      <c r="C233" s="94">
        <v>12350.218701785194</v>
      </c>
      <c r="D233" s="94">
        <v>12298.931425004457</v>
      </c>
      <c r="E233" s="95">
        <v>12597.223075820897</v>
      </c>
      <c r="F233" s="95">
        <v>12544.910053504547</v>
      </c>
      <c r="G233" s="1130">
        <v>0.41700595774088989</v>
      </c>
      <c r="H233" s="96">
        <v>403.61325301204823</v>
      </c>
      <c r="I233" s="96">
        <v>-0.67057232517249465</v>
      </c>
      <c r="J233" s="96">
        <v>-9.7826086956521738</v>
      </c>
      <c r="K233" s="96">
        <v>5.310300703774792</v>
      </c>
      <c r="L233" s="1131">
        <v>-3.2558073036739978</v>
      </c>
    </row>
    <row r="234" spans="1:12" ht="15">
      <c r="A234" s="39" t="s">
        <v>111</v>
      </c>
      <c r="B234" s="40" t="s">
        <v>23</v>
      </c>
      <c r="C234" s="94" t="s">
        <v>100</v>
      </c>
      <c r="D234" s="94" t="s">
        <v>100</v>
      </c>
      <c r="E234" s="95" t="s">
        <v>100</v>
      </c>
      <c r="F234" s="95" t="s">
        <v>100</v>
      </c>
      <c r="G234" s="1130" t="s">
        <v>100</v>
      </c>
      <c r="H234" s="96" t="s">
        <v>100</v>
      </c>
      <c r="I234" s="96" t="s">
        <v>100</v>
      </c>
      <c r="J234" s="96" t="s">
        <v>100</v>
      </c>
      <c r="K234" s="96" t="s">
        <v>100</v>
      </c>
      <c r="L234" s="1131" t="s">
        <v>100</v>
      </c>
    </row>
    <row r="235" spans="1:12" ht="15">
      <c r="A235" s="39" t="s">
        <v>98</v>
      </c>
      <c r="B235" s="40" t="s">
        <v>23</v>
      </c>
      <c r="C235" s="94">
        <v>9691.205193590491</v>
      </c>
      <c r="D235" s="94">
        <v>9643.3881599101951</v>
      </c>
      <c r="E235" s="95">
        <v>9885.0292974623007</v>
      </c>
      <c r="F235" s="95">
        <v>9836.2559231083997</v>
      </c>
      <c r="G235" s="1130">
        <v>0.49585304342597863</v>
      </c>
      <c r="H235" s="96">
        <v>292.24553928095872</v>
      </c>
      <c r="I235" s="96">
        <v>-39.121672956703456</v>
      </c>
      <c r="J235" s="96">
        <v>34.107142857142861</v>
      </c>
      <c r="K235" s="96">
        <v>48.048624440179147</v>
      </c>
      <c r="L235" s="1131">
        <v>-4.0929025616830543</v>
      </c>
    </row>
    <row r="236" spans="1:12" ht="15.75" thickBot="1">
      <c r="A236" s="41" t="s">
        <v>112</v>
      </c>
      <c r="B236" s="42" t="s">
        <v>23</v>
      </c>
      <c r="C236" s="97">
        <v>12012.619625933405</v>
      </c>
      <c r="D236" s="97">
        <v>11492.70051637345</v>
      </c>
      <c r="E236" s="98">
        <v>12252.872018452073</v>
      </c>
      <c r="F236" s="98">
        <v>11740.147178299492</v>
      </c>
      <c r="G236" s="1132">
        <v>4.3672777893304673</v>
      </c>
      <c r="H236" s="99">
        <v>289.46261127596438</v>
      </c>
      <c r="I236" s="99">
        <v>-14.128942111299716</v>
      </c>
      <c r="J236" s="99">
        <v>80.213903743315512</v>
      </c>
      <c r="K236" s="99">
        <v>21.561100447856685</v>
      </c>
      <c r="L236" s="1133">
        <v>4.1495548240205586</v>
      </c>
    </row>
    <row r="237" spans="1:12" ht="15" thickBot="1">
      <c r="A237" s="35"/>
      <c r="B237" s="43"/>
      <c r="C237" s="86"/>
      <c r="D237" s="86"/>
      <c r="E237" s="86"/>
      <c r="F237" s="86"/>
      <c r="G237" s="1124"/>
      <c r="H237" s="85"/>
      <c r="I237" s="85"/>
      <c r="J237" s="85"/>
      <c r="K237" s="85"/>
      <c r="L237" s="1125"/>
    </row>
    <row r="238" spans="1:12" ht="14.25">
      <c r="A238" s="44" t="s">
        <v>113</v>
      </c>
      <c r="B238" s="45" t="s">
        <v>25</v>
      </c>
      <c r="C238" s="100" t="s">
        <v>100</v>
      </c>
      <c r="D238" s="100" t="s">
        <v>100</v>
      </c>
      <c r="E238" s="101" t="s">
        <v>100</v>
      </c>
      <c r="F238" s="101" t="s">
        <v>100</v>
      </c>
      <c r="G238" s="1134" t="s">
        <v>100</v>
      </c>
      <c r="H238" s="102" t="s">
        <v>100</v>
      </c>
      <c r="I238" s="102" t="s">
        <v>100</v>
      </c>
      <c r="J238" s="103" t="s">
        <v>100</v>
      </c>
      <c r="K238" s="103" t="s">
        <v>100</v>
      </c>
      <c r="L238" s="1135" t="s">
        <v>100</v>
      </c>
    </row>
    <row r="239" spans="1:12" ht="15">
      <c r="A239" s="46" t="s">
        <v>113</v>
      </c>
      <c r="B239" s="47" t="s">
        <v>26</v>
      </c>
      <c r="C239" s="94" t="s">
        <v>100</v>
      </c>
      <c r="D239" s="94" t="s">
        <v>100</v>
      </c>
      <c r="E239" s="95" t="s">
        <v>100</v>
      </c>
      <c r="F239" s="95" t="s">
        <v>100</v>
      </c>
      <c r="G239" s="1130" t="s">
        <v>100</v>
      </c>
      <c r="H239" s="96" t="s">
        <v>100</v>
      </c>
      <c r="I239" s="96" t="s">
        <v>100</v>
      </c>
      <c r="J239" s="104" t="s">
        <v>100</v>
      </c>
      <c r="K239" s="104" t="s">
        <v>100</v>
      </c>
      <c r="L239" s="1136" t="s">
        <v>100</v>
      </c>
    </row>
    <row r="240" spans="1:12" ht="15">
      <c r="A240" s="46" t="s">
        <v>113</v>
      </c>
      <c r="B240" s="47" t="s">
        <v>27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30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36" t="s">
        <v>100</v>
      </c>
    </row>
    <row r="241" spans="1:12" ht="14.25">
      <c r="A241" s="44" t="s">
        <v>113</v>
      </c>
      <c r="B241" s="48" t="s">
        <v>28</v>
      </c>
      <c r="C241" s="105" t="s">
        <v>257</v>
      </c>
      <c r="D241" s="105" t="s">
        <v>100</v>
      </c>
      <c r="E241" s="106" t="s">
        <v>257</v>
      </c>
      <c r="F241" s="106" t="s">
        <v>100</v>
      </c>
      <c r="G241" s="1137" t="s">
        <v>100</v>
      </c>
      <c r="H241" s="107" t="s">
        <v>257</v>
      </c>
      <c r="I241" s="107" t="s">
        <v>100</v>
      </c>
      <c r="J241" s="108" t="s">
        <v>100</v>
      </c>
      <c r="K241" s="108" t="s">
        <v>257</v>
      </c>
      <c r="L241" s="1138" t="s">
        <v>100</v>
      </c>
    </row>
    <row r="242" spans="1:12" ht="15">
      <c r="A242" s="46" t="s">
        <v>113</v>
      </c>
      <c r="B242" s="47" t="s">
        <v>29</v>
      </c>
      <c r="C242" s="94" t="s">
        <v>257</v>
      </c>
      <c r="D242" s="94" t="s">
        <v>100</v>
      </c>
      <c r="E242" s="95" t="s">
        <v>257</v>
      </c>
      <c r="F242" s="95" t="s">
        <v>100</v>
      </c>
      <c r="G242" s="1130" t="s">
        <v>100</v>
      </c>
      <c r="H242" s="96" t="s">
        <v>257</v>
      </c>
      <c r="I242" s="96" t="s">
        <v>100</v>
      </c>
      <c r="J242" s="104" t="s">
        <v>100</v>
      </c>
      <c r="K242" s="104" t="s">
        <v>257</v>
      </c>
      <c r="L242" s="1136" t="s">
        <v>100</v>
      </c>
    </row>
    <row r="243" spans="1:12" ht="15">
      <c r="A243" s="46" t="s">
        <v>113</v>
      </c>
      <c r="B243" s="47" t="s">
        <v>30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30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36" t="s">
        <v>100</v>
      </c>
    </row>
    <row r="244" spans="1:12" ht="14.25">
      <c r="A244" s="44" t="s">
        <v>113</v>
      </c>
      <c r="B244" s="48" t="s">
        <v>31</v>
      </c>
      <c r="C244" s="105" t="s">
        <v>100</v>
      </c>
      <c r="D244" s="105" t="s">
        <v>100</v>
      </c>
      <c r="E244" s="106" t="s">
        <v>100</v>
      </c>
      <c r="F244" s="106" t="s">
        <v>100</v>
      </c>
      <c r="G244" s="1137" t="s">
        <v>100</v>
      </c>
      <c r="H244" s="107" t="s">
        <v>100</v>
      </c>
      <c r="I244" s="107" t="s">
        <v>100</v>
      </c>
      <c r="J244" s="108" t="s">
        <v>100</v>
      </c>
      <c r="K244" s="108" t="s">
        <v>100</v>
      </c>
      <c r="L244" s="1138" t="s">
        <v>100</v>
      </c>
    </row>
    <row r="245" spans="1:12" ht="15">
      <c r="A245" s="46" t="s">
        <v>113</v>
      </c>
      <c r="B245" s="47" t="s">
        <v>32</v>
      </c>
      <c r="C245" s="94" t="s">
        <v>100</v>
      </c>
      <c r="D245" s="94" t="s">
        <v>100</v>
      </c>
      <c r="E245" s="95" t="s">
        <v>100</v>
      </c>
      <c r="F245" s="95" t="s">
        <v>100</v>
      </c>
      <c r="G245" s="1130" t="s">
        <v>100</v>
      </c>
      <c r="H245" s="96" t="s">
        <v>100</v>
      </c>
      <c r="I245" s="96" t="s">
        <v>100</v>
      </c>
      <c r="J245" s="104" t="s">
        <v>100</v>
      </c>
      <c r="K245" s="104" t="s">
        <v>100</v>
      </c>
      <c r="L245" s="1136" t="s">
        <v>100</v>
      </c>
    </row>
    <row r="246" spans="1:12" ht="15.75" thickBot="1">
      <c r="A246" s="49" t="s">
        <v>113</v>
      </c>
      <c r="B246" s="50" t="s">
        <v>33</v>
      </c>
      <c r="C246" s="109" t="s">
        <v>100</v>
      </c>
      <c r="D246" s="109" t="s">
        <v>100</v>
      </c>
      <c r="E246" s="110" t="s">
        <v>100</v>
      </c>
      <c r="F246" s="110" t="s">
        <v>100</v>
      </c>
      <c r="G246" s="1139" t="s">
        <v>100</v>
      </c>
      <c r="H246" s="104" t="s">
        <v>100</v>
      </c>
      <c r="I246" s="104" t="s">
        <v>100</v>
      </c>
      <c r="J246" s="104" t="s">
        <v>100</v>
      </c>
      <c r="K246" s="104" t="s">
        <v>100</v>
      </c>
      <c r="L246" s="1136" t="s">
        <v>100</v>
      </c>
    </row>
    <row r="247" spans="1:12" ht="15" thickBot="1">
      <c r="A247" s="35"/>
      <c r="B247" s="43"/>
      <c r="C247" s="86"/>
      <c r="D247" s="86"/>
      <c r="E247" s="86"/>
      <c r="F247" s="86"/>
      <c r="G247" s="1124"/>
      <c r="H247" s="85"/>
      <c r="I247" s="85"/>
      <c r="J247" s="85"/>
      <c r="K247" s="85"/>
      <c r="L247" s="1125"/>
    </row>
    <row r="248" spans="1:12" ht="14.25">
      <c r="A248" s="44" t="s">
        <v>114</v>
      </c>
      <c r="B248" s="45" t="s">
        <v>25</v>
      </c>
      <c r="C248" s="100">
        <v>12610.133750973313</v>
      </c>
      <c r="D248" s="100">
        <v>12497.141301068923</v>
      </c>
      <c r="E248" s="101">
        <v>12862.33642599278</v>
      </c>
      <c r="F248" s="101">
        <v>12747.084127090302</v>
      </c>
      <c r="G248" s="1134">
        <v>0.9041463738169131</v>
      </c>
      <c r="H248" s="102">
        <v>415.52499999999998</v>
      </c>
      <c r="I248" s="102">
        <v>-9.6684782608695699</v>
      </c>
      <c r="J248" s="103">
        <v>53.846153846153847</v>
      </c>
      <c r="K248" s="103">
        <v>1.2795905310300704</v>
      </c>
      <c r="L248" s="1135">
        <v>6.9162225629697982E-2</v>
      </c>
    </row>
    <row r="249" spans="1:12" ht="15">
      <c r="A249" s="46" t="s">
        <v>114</v>
      </c>
      <c r="B249" s="47" t="s">
        <v>26</v>
      </c>
      <c r="C249" s="94">
        <v>12622.86862745098</v>
      </c>
      <c r="D249" s="94">
        <v>12350.756862745098</v>
      </c>
      <c r="E249" s="95">
        <v>12875.325999999999</v>
      </c>
      <c r="F249" s="95">
        <v>12597.772000000001</v>
      </c>
      <c r="G249" s="1130">
        <v>2.2031991053656013</v>
      </c>
      <c r="H249" s="96">
        <v>404.7</v>
      </c>
      <c r="I249" s="96">
        <v>-8.0227272727272751</v>
      </c>
      <c r="J249" s="104">
        <v>87.5</v>
      </c>
      <c r="K249" s="104">
        <v>0.95969289827255266</v>
      </c>
      <c r="L249" s="1136">
        <v>0.21481394110309271</v>
      </c>
    </row>
    <row r="250" spans="1:12" ht="15">
      <c r="A250" s="46" t="s">
        <v>114</v>
      </c>
      <c r="B250" s="47" t="s">
        <v>27</v>
      </c>
      <c r="C250" s="94">
        <v>12575.624509803922</v>
      </c>
      <c r="D250" s="94" t="s">
        <v>257</v>
      </c>
      <c r="E250" s="95">
        <v>12827.137000000001</v>
      </c>
      <c r="F250" s="95" t="s">
        <v>257</v>
      </c>
      <c r="G250" s="1130" t="s">
        <v>100</v>
      </c>
      <c r="H250" s="96">
        <v>448</v>
      </c>
      <c r="I250" s="96" t="s">
        <v>100</v>
      </c>
      <c r="J250" s="104" t="s">
        <v>100</v>
      </c>
      <c r="K250" s="104" t="s">
        <v>100</v>
      </c>
      <c r="L250" s="1136" t="s">
        <v>100</v>
      </c>
    </row>
    <row r="251" spans="1:12" ht="14.25">
      <c r="A251" s="44" t="s">
        <v>114</v>
      </c>
      <c r="B251" s="48" t="s">
        <v>28</v>
      </c>
      <c r="C251" s="105">
        <v>12326.846278214391</v>
      </c>
      <c r="D251" s="105">
        <v>12391.28419208275</v>
      </c>
      <c r="E251" s="106">
        <v>12573.383203778678</v>
      </c>
      <c r="F251" s="106">
        <v>12639.109875924405</v>
      </c>
      <c r="G251" s="1137">
        <v>-0.52002611569131607</v>
      </c>
      <c r="H251" s="107">
        <v>389.97719298245613</v>
      </c>
      <c r="I251" s="107">
        <v>-3.8707372849398096</v>
      </c>
      <c r="J251" s="108">
        <v>26.666666666666668</v>
      </c>
      <c r="K251" s="108">
        <v>7.2936660268714011</v>
      </c>
      <c r="L251" s="1138">
        <v>-1.0862222412850233</v>
      </c>
    </row>
    <row r="252" spans="1:12" ht="15">
      <c r="A252" s="46" t="s">
        <v>114</v>
      </c>
      <c r="B252" s="47" t="s">
        <v>29</v>
      </c>
      <c r="C252" s="94">
        <v>12302.943137254902</v>
      </c>
      <c r="D252" s="94">
        <v>12212.946078431372</v>
      </c>
      <c r="E252" s="95">
        <v>12549.002</v>
      </c>
      <c r="F252" s="95">
        <v>12457.205</v>
      </c>
      <c r="G252" s="1130">
        <v>0.73689884689222407</v>
      </c>
      <c r="H252" s="96">
        <v>386.1</v>
      </c>
      <c r="I252" s="96">
        <v>-4.7137216189535955</v>
      </c>
      <c r="J252" s="104">
        <v>62.962962962962962</v>
      </c>
      <c r="K252" s="104">
        <v>5.6301983365323096</v>
      </c>
      <c r="L252" s="1136">
        <v>0.60226537563845461</v>
      </c>
    </row>
    <row r="253" spans="1:12" ht="15">
      <c r="A253" s="46" t="s">
        <v>114</v>
      </c>
      <c r="B253" s="47" t="s">
        <v>30</v>
      </c>
      <c r="C253" s="94">
        <v>12404.349019607842</v>
      </c>
      <c r="D253" s="94">
        <v>12657.999019607843</v>
      </c>
      <c r="E253" s="95">
        <v>12652.436</v>
      </c>
      <c r="F253" s="95">
        <v>12911.159</v>
      </c>
      <c r="G253" s="1130">
        <v>-2.0038712248838384</v>
      </c>
      <c r="H253" s="96">
        <v>403.1</v>
      </c>
      <c r="I253" s="96">
        <v>-0.81200787401573682</v>
      </c>
      <c r="J253" s="104">
        <v>-27.777777777777779</v>
      </c>
      <c r="K253" s="104">
        <v>1.6634676903390915</v>
      </c>
      <c r="L253" s="1136">
        <v>-1.6884876169234784</v>
      </c>
    </row>
    <row r="254" spans="1:12" ht="14.25">
      <c r="A254" s="44" t="s">
        <v>114</v>
      </c>
      <c r="B254" s="48" t="s">
        <v>31</v>
      </c>
      <c r="C254" s="105">
        <v>11976.508265742708</v>
      </c>
      <c r="D254" s="105">
        <v>11767.607438892292</v>
      </c>
      <c r="E254" s="106">
        <v>12216.038431057563</v>
      </c>
      <c r="F254" s="106">
        <v>12002.959587670137</v>
      </c>
      <c r="G254" s="1137">
        <v>1.7752192018234234</v>
      </c>
      <c r="H254" s="107">
        <v>348.76342412451362</v>
      </c>
      <c r="I254" s="107">
        <v>-7.8549514734718207</v>
      </c>
      <c r="J254" s="108">
        <v>94.696969696969703</v>
      </c>
      <c r="K254" s="108">
        <v>16.442738323736407</v>
      </c>
      <c r="L254" s="1138">
        <v>4.1522355304403185</v>
      </c>
    </row>
    <row r="255" spans="1:12" ht="15">
      <c r="A255" s="46" t="s">
        <v>114</v>
      </c>
      <c r="B255" s="47" t="s">
        <v>32</v>
      </c>
      <c r="C255" s="94">
        <v>11913.23431372549</v>
      </c>
      <c r="D255" s="94">
        <v>11770.885294117646</v>
      </c>
      <c r="E255" s="95">
        <v>12151.499</v>
      </c>
      <c r="F255" s="95">
        <v>12006.303</v>
      </c>
      <c r="G255" s="1130">
        <v>1.2093314653145095</v>
      </c>
      <c r="H255" s="96">
        <v>345</v>
      </c>
      <c r="I255" s="96">
        <v>-2.6248941574936526</v>
      </c>
      <c r="J255" s="104">
        <v>95</v>
      </c>
      <c r="K255" s="104">
        <v>12.476007677543185</v>
      </c>
      <c r="L255" s="1136">
        <v>3.1650207129249353</v>
      </c>
    </row>
    <row r="256" spans="1:12" ht="15.75" thickBot="1">
      <c r="A256" s="49" t="s">
        <v>114</v>
      </c>
      <c r="B256" s="50" t="s">
        <v>33</v>
      </c>
      <c r="C256" s="109">
        <v>12166.896078431373</v>
      </c>
      <c r="D256" s="109">
        <v>11759.614705882354</v>
      </c>
      <c r="E256" s="110">
        <v>12410.234</v>
      </c>
      <c r="F256" s="110">
        <v>11994.807000000001</v>
      </c>
      <c r="G256" s="1139">
        <v>3.463390448883418</v>
      </c>
      <c r="H256" s="104">
        <v>360.6</v>
      </c>
      <c r="I256" s="104">
        <v>-20.590178374807312</v>
      </c>
      <c r="J256" s="104">
        <v>93.75</v>
      </c>
      <c r="K256" s="104">
        <v>3.9667306461932181</v>
      </c>
      <c r="L256" s="1136">
        <v>0.98721481751537832</v>
      </c>
    </row>
    <row r="257" spans="1:12" ht="15.75" thickBot="1">
      <c r="A257" s="51"/>
      <c r="B257" s="52"/>
      <c r="C257" s="111"/>
      <c r="D257" s="111"/>
      <c r="E257" s="111"/>
      <c r="F257" s="111"/>
      <c r="G257" s="1140"/>
      <c r="H257" s="112"/>
      <c r="I257" s="112"/>
      <c r="J257" s="112"/>
      <c r="K257" s="112"/>
      <c r="L257" s="1141"/>
    </row>
    <row r="258" spans="1:12" ht="15">
      <c r="A258" s="46" t="s">
        <v>115</v>
      </c>
      <c r="B258" s="53" t="s">
        <v>30</v>
      </c>
      <c r="C258" s="113">
        <v>12571.12156862745</v>
      </c>
      <c r="D258" s="113">
        <v>12680.627450980392</v>
      </c>
      <c r="E258" s="114">
        <v>12822.544</v>
      </c>
      <c r="F258" s="114">
        <v>12934.24</v>
      </c>
      <c r="G258" s="1142">
        <v>-0.86356832716881637</v>
      </c>
      <c r="H258" s="115">
        <v>410.9</v>
      </c>
      <c r="I258" s="115">
        <v>-2.0267048164043877</v>
      </c>
      <c r="J258" s="115">
        <v>12.903225806451612</v>
      </c>
      <c r="K258" s="115">
        <v>2.2392834293026231</v>
      </c>
      <c r="L258" s="1143">
        <v>-0.64712252972903439</v>
      </c>
    </row>
    <row r="259" spans="1:12" ht="15.75" thickBot="1">
      <c r="A259" s="49" t="s">
        <v>115</v>
      </c>
      <c r="B259" s="50" t="s">
        <v>33</v>
      </c>
      <c r="C259" s="109">
        <v>12184.079411764706</v>
      </c>
      <c r="D259" s="109">
        <v>12095.401960784313</v>
      </c>
      <c r="E259" s="110">
        <v>12427.761</v>
      </c>
      <c r="F259" s="110">
        <v>12337.31</v>
      </c>
      <c r="G259" s="1139">
        <v>0.73315009511798712</v>
      </c>
      <c r="H259" s="104">
        <v>398.3</v>
      </c>
      <c r="I259" s="104">
        <v>-0.35026269702276142</v>
      </c>
      <c r="J259" s="104">
        <v>-21.311475409836063</v>
      </c>
      <c r="K259" s="104">
        <v>3.0710172744721689</v>
      </c>
      <c r="L259" s="1136">
        <v>-2.6086847739449635</v>
      </c>
    </row>
    <row r="260" spans="1:12" ht="15.75" thickBot="1">
      <c r="A260" s="51"/>
      <c r="B260" s="52"/>
      <c r="C260" s="111"/>
      <c r="D260" s="111"/>
      <c r="E260" s="111"/>
      <c r="F260" s="111"/>
      <c r="G260" s="1140"/>
      <c r="H260" s="112"/>
      <c r="I260" s="112"/>
      <c r="J260" s="112"/>
      <c r="K260" s="112"/>
      <c r="L260" s="1141"/>
    </row>
    <row r="261" spans="1:12" ht="14.25">
      <c r="A261" s="44" t="s">
        <v>116</v>
      </c>
      <c r="B261" s="45" t="s">
        <v>25</v>
      </c>
      <c r="C261" s="100" t="s">
        <v>100</v>
      </c>
      <c r="D261" s="100" t="s">
        <v>100</v>
      </c>
      <c r="E261" s="101" t="s">
        <v>100</v>
      </c>
      <c r="F261" s="101" t="s">
        <v>100</v>
      </c>
      <c r="G261" s="1134" t="s">
        <v>100</v>
      </c>
      <c r="H261" s="102" t="s">
        <v>100</v>
      </c>
      <c r="I261" s="102" t="s">
        <v>100</v>
      </c>
      <c r="J261" s="103" t="s">
        <v>100</v>
      </c>
      <c r="K261" s="103" t="s">
        <v>100</v>
      </c>
      <c r="L261" s="1135" t="s">
        <v>100</v>
      </c>
    </row>
    <row r="262" spans="1:12" ht="15">
      <c r="A262" s="39" t="s">
        <v>116</v>
      </c>
      <c r="B262" s="47" t="s">
        <v>26</v>
      </c>
      <c r="C262" s="94" t="s">
        <v>100</v>
      </c>
      <c r="D262" s="94" t="s">
        <v>100</v>
      </c>
      <c r="E262" s="95" t="s">
        <v>100</v>
      </c>
      <c r="F262" s="95" t="s">
        <v>100</v>
      </c>
      <c r="G262" s="1130" t="s">
        <v>100</v>
      </c>
      <c r="H262" s="96" t="s">
        <v>100</v>
      </c>
      <c r="I262" s="96" t="s">
        <v>100</v>
      </c>
      <c r="J262" s="104" t="s">
        <v>100</v>
      </c>
      <c r="K262" s="104" t="s">
        <v>100</v>
      </c>
      <c r="L262" s="1136" t="s">
        <v>100</v>
      </c>
    </row>
    <row r="263" spans="1:12" ht="15">
      <c r="A263" s="39" t="s">
        <v>116</v>
      </c>
      <c r="B263" s="47" t="s">
        <v>27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30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36" t="s">
        <v>100</v>
      </c>
    </row>
    <row r="264" spans="1:12" ht="15">
      <c r="A264" s="39" t="s">
        <v>116</v>
      </c>
      <c r="B264" s="47" t="s">
        <v>34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30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36" t="s">
        <v>100</v>
      </c>
    </row>
    <row r="265" spans="1:12" ht="14.25">
      <c r="A265" s="54" t="s">
        <v>116</v>
      </c>
      <c r="B265" s="48" t="s">
        <v>28</v>
      </c>
      <c r="C265" s="105" t="s">
        <v>100</v>
      </c>
      <c r="D265" s="105" t="s">
        <v>100</v>
      </c>
      <c r="E265" s="106" t="s">
        <v>100</v>
      </c>
      <c r="F265" s="106" t="s">
        <v>100</v>
      </c>
      <c r="G265" s="1137" t="s">
        <v>100</v>
      </c>
      <c r="H265" s="107" t="s">
        <v>100</v>
      </c>
      <c r="I265" s="107" t="s">
        <v>100</v>
      </c>
      <c r="J265" s="108" t="s">
        <v>100</v>
      </c>
      <c r="K265" s="108" t="s">
        <v>100</v>
      </c>
      <c r="L265" s="1138" t="s">
        <v>100</v>
      </c>
    </row>
    <row r="266" spans="1:12" ht="15">
      <c r="A266" s="39" t="s">
        <v>116</v>
      </c>
      <c r="B266" s="47" t="s">
        <v>30</v>
      </c>
      <c r="C266" s="94" t="s">
        <v>100</v>
      </c>
      <c r="D266" s="94" t="s">
        <v>100</v>
      </c>
      <c r="E266" s="95" t="s">
        <v>100</v>
      </c>
      <c r="F266" s="95" t="s">
        <v>100</v>
      </c>
      <c r="G266" s="1130" t="s">
        <v>100</v>
      </c>
      <c r="H266" s="96" t="s">
        <v>100</v>
      </c>
      <c r="I266" s="96" t="s">
        <v>100</v>
      </c>
      <c r="J266" s="104" t="s">
        <v>100</v>
      </c>
      <c r="K266" s="104" t="s">
        <v>100</v>
      </c>
      <c r="L266" s="1136" t="s">
        <v>100</v>
      </c>
    </row>
    <row r="267" spans="1:12" ht="15">
      <c r="A267" s="39" t="s">
        <v>116</v>
      </c>
      <c r="B267" s="47" t="s">
        <v>35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30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36" t="s">
        <v>100</v>
      </c>
    </row>
    <row r="268" spans="1:12" ht="14.25">
      <c r="A268" s="54" t="s">
        <v>116</v>
      </c>
      <c r="B268" s="48" t="s">
        <v>31</v>
      </c>
      <c r="C268" s="105" t="s">
        <v>100</v>
      </c>
      <c r="D268" s="105" t="s">
        <v>100</v>
      </c>
      <c r="E268" s="106" t="s">
        <v>100</v>
      </c>
      <c r="F268" s="106" t="s">
        <v>100</v>
      </c>
      <c r="G268" s="1137" t="s">
        <v>100</v>
      </c>
      <c r="H268" s="107" t="s">
        <v>100</v>
      </c>
      <c r="I268" s="107" t="s">
        <v>100</v>
      </c>
      <c r="J268" s="108" t="s">
        <v>100</v>
      </c>
      <c r="K268" s="108" t="s">
        <v>100</v>
      </c>
      <c r="L268" s="1138" t="s">
        <v>100</v>
      </c>
    </row>
    <row r="269" spans="1:12" ht="15">
      <c r="A269" s="39" t="s">
        <v>116</v>
      </c>
      <c r="B269" s="47" t="s">
        <v>33</v>
      </c>
      <c r="C269" s="94" t="s">
        <v>100</v>
      </c>
      <c r="D269" s="94" t="s">
        <v>100</v>
      </c>
      <c r="E269" s="95" t="s">
        <v>100</v>
      </c>
      <c r="F269" s="95" t="s">
        <v>100</v>
      </c>
      <c r="G269" s="1130" t="s">
        <v>100</v>
      </c>
      <c r="H269" s="96" t="s">
        <v>100</v>
      </c>
      <c r="I269" s="96" t="s">
        <v>100</v>
      </c>
      <c r="J269" s="104" t="s">
        <v>100</v>
      </c>
      <c r="K269" s="104" t="s">
        <v>100</v>
      </c>
      <c r="L269" s="1136" t="s">
        <v>100</v>
      </c>
    </row>
    <row r="270" spans="1:12" ht="15.75" thickBot="1">
      <c r="A270" s="55" t="s">
        <v>116</v>
      </c>
      <c r="B270" s="47" t="s">
        <v>36</v>
      </c>
      <c r="C270" s="109" t="s">
        <v>100</v>
      </c>
      <c r="D270" s="109" t="s">
        <v>100</v>
      </c>
      <c r="E270" s="110" t="s">
        <v>100</v>
      </c>
      <c r="F270" s="110" t="s">
        <v>100</v>
      </c>
      <c r="G270" s="1139" t="s">
        <v>100</v>
      </c>
      <c r="H270" s="104" t="s">
        <v>100</v>
      </c>
      <c r="I270" s="104" t="s">
        <v>100</v>
      </c>
      <c r="J270" s="104" t="s">
        <v>100</v>
      </c>
      <c r="K270" s="104" t="s">
        <v>100</v>
      </c>
      <c r="L270" s="1136" t="s">
        <v>100</v>
      </c>
    </row>
    <row r="271" spans="1:12" ht="15.75" thickBot="1">
      <c r="A271" s="51"/>
      <c r="B271" s="52"/>
      <c r="C271" s="111"/>
      <c r="D271" s="111"/>
      <c r="E271" s="111"/>
      <c r="F271" s="111"/>
      <c r="G271" s="1140"/>
      <c r="H271" s="112"/>
      <c r="I271" s="112"/>
      <c r="J271" s="112"/>
      <c r="K271" s="112"/>
      <c r="L271" s="1141"/>
    </row>
    <row r="272" spans="1:12" ht="14.25">
      <c r="A272" s="44" t="s">
        <v>24</v>
      </c>
      <c r="B272" s="45" t="s">
        <v>28</v>
      </c>
      <c r="C272" s="100">
        <v>10425.582783851003</v>
      </c>
      <c r="D272" s="100">
        <v>10453.245756192624</v>
      </c>
      <c r="E272" s="101">
        <v>10634.094439528024</v>
      </c>
      <c r="F272" s="101">
        <v>10662.310671316476</v>
      </c>
      <c r="G272" s="1134">
        <v>-0.26463524331887006</v>
      </c>
      <c r="H272" s="102">
        <v>338.97500000000002</v>
      </c>
      <c r="I272" s="102">
        <v>-14.295024368128761</v>
      </c>
      <c r="J272" s="103">
        <v>106.89655172413792</v>
      </c>
      <c r="K272" s="103">
        <v>3.8387715930902107</v>
      </c>
      <c r="L272" s="1135">
        <v>1.1385853733509186</v>
      </c>
    </row>
    <row r="273" spans="1:12" ht="15">
      <c r="A273" s="46" t="s">
        <v>24</v>
      </c>
      <c r="B273" s="47" t="s">
        <v>29</v>
      </c>
      <c r="C273" s="94">
        <v>10036.732352941177</v>
      </c>
      <c r="D273" s="94">
        <v>9973.3921568627447</v>
      </c>
      <c r="E273" s="95">
        <v>10237.467000000001</v>
      </c>
      <c r="F273" s="95">
        <v>10172.86</v>
      </c>
      <c r="G273" s="1130">
        <v>0.6350918030917555</v>
      </c>
      <c r="H273" s="96">
        <v>307.8</v>
      </c>
      <c r="I273" s="96">
        <v>-34.51063829787234</v>
      </c>
      <c r="J273" s="104">
        <v>200</v>
      </c>
      <c r="K273" s="104">
        <v>0.57581573896353166</v>
      </c>
      <c r="L273" s="1136">
        <v>0.2964861300249842</v>
      </c>
    </row>
    <row r="274" spans="1:12" ht="15">
      <c r="A274" s="46" t="s">
        <v>24</v>
      </c>
      <c r="B274" s="47" t="s">
        <v>30</v>
      </c>
      <c r="C274" s="94">
        <v>10461.061764705883</v>
      </c>
      <c r="D274" s="94">
        <v>10450.529411764706</v>
      </c>
      <c r="E274" s="95">
        <v>10670.282999999999</v>
      </c>
      <c r="F274" s="95">
        <v>10659.54</v>
      </c>
      <c r="G274" s="1130">
        <v>0.1007829606155479</v>
      </c>
      <c r="H274" s="96">
        <v>339.7</v>
      </c>
      <c r="I274" s="96">
        <v>-12.063163344550873</v>
      </c>
      <c r="J274" s="104">
        <v>94.73684210526315</v>
      </c>
      <c r="K274" s="104">
        <v>2.3672424824056302</v>
      </c>
      <c r="L274" s="1136">
        <v>0.59815495912816297</v>
      </c>
    </row>
    <row r="275" spans="1:12" ht="15">
      <c r="A275" s="46" t="s">
        <v>24</v>
      </c>
      <c r="B275" s="47" t="s">
        <v>35</v>
      </c>
      <c r="C275" s="94">
        <v>10551.811764705883</v>
      </c>
      <c r="D275" s="94">
        <v>10709.323529411764</v>
      </c>
      <c r="E275" s="95">
        <v>10762.848</v>
      </c>
      <c r="F275" s="95">
        <v>10923.51</v>
      </c>
      <c r="G275" s="1130">
        <v>-1.4707909820195182</v>
      </c>
      <c r="H275" s="96">
        <v>357.1</v>
      </c>
      <c r="I275" s="96">
        <v>-8.1060216160576424</v>
      </c>
      <c r="J275" s="104">
        <v>100</v>
      </c>
      <c r="K275" s="104">
        <v>0.89571337172104937</v>
      </c>
      <c r="L275" s="1136">
        <v>0.24394428419777192</v>
      </c>
    </row>
    <row r="276" spans="1:12" ht="14.25">
      <c r="A276" s="44" t="s">
        <v>24</v>
      </c>
      <c r="B276" s="48" t="s">
        <v>31</v>
      </c>
      <c r="C276" s="105">
        <v>10340.087761793236</v>
      </c>
      <c r="D276" s="105">
        <v>10286.951615708605</v>
      </c>
      <c r="E276" s="106">
        <v>10546.889517029102</v>
      </c>
      <c r="F276" s="106">
        <v>10492.690648022777</v>
      </c>
      <c r="G276" s="1137">
        <v>0.51653928267233906</v>
      </c>
      <c r="H276" s="107">
        <v>319.88695652173914</v>
      </c>
      <c r="I276" s="107">
        <v>-37.056700320673244</v>
      </c>
      <c r="J276" s="108">
        <v>25.723472668810288</v>
      </c>
      <c r="K276" s="108">
        <v>25.015994881637877</v>
      </c>
      <c r="L276" s="1138">
        <v>-3.9411745783248797</v>
      </c>
    </row>
    <row r="277" spans="1:12" ht="15">
      <c r="A277" s="46" t="s">
        <v>24</v>
      </c>
      <c r="B277" s="47" t="s">
        <v>32</v>
      </c>
      <c r="C277" s="94">
        <v>10211.73137254902</v>
      </c>
      <c r="D277" s="94">
        <v>10354.01568627451</v>
      </c>
      <c r="E277" s="95">
        <v>10415.966</v>
      </c>
      <c r="F277" s="95">
        <v>10561.096</v>
      </c>
      <c r="G277" s="1130">
        <v>-1.3741944964802819</v>
      </c>
      <c r="H277" s="96">
        <v>294.10000000000002</v>
      </c>
      <c r="I277" s="96">
        <v>-44.330872610259313</v>
      </c>
      <c r="J277" s="104">
        <v>23.52941176470588</v>
      </c>
      <c r="K277" s="104">
        <v>10.748560460652591</v>
      </c>
      <c r="L277" s="1136">
        <v>-1.9143818112282283</v>
      </c>
    </row>
    <row r="278" spans="1:12" ht="15">
      <c r="A278" s="46" t="s">
        <v>24</v>
      </c>
      <c r="B278" s="47" t="s">
        <v>33</v>
      </c>
      <c r="C278" s="94">
        <v>10363.932352941176</v>
      </c>
      <c r="D278" s="94">
        <v>10104.480392156862</v>
      </c>
      <c r="E278" s="95">
        <v>10571.210999999999</v>
      </c>
      <c r="F278" s="95">
        <v>10306.57</v>
      </c>
      <c r="G278" s="1130">
        <v>2.5676922584332096</v>
      </c>
      <c r="H278" s="96">
        <v>333.4</v>
      </c>
      <c r="I278" s="96">
        <v>-31.694324933415292</v>
      </c>
      <c r="J278" s="104">
        <v>30.215827338129497</v>
      </c>
      <c r="K278" s="104">
        <v>11.580294305822136</v>
      </c>
      <c r="L278" s="1136">
        <v>-1.3619775749972316</v>
      </c>
    </row>
    <row r="279" spans="1:12" ht="15">
      <c r="A279" s="46" t="s">
        <v>24</v>
      </c>
      <c r="B279" s="47" t="s">
        <v>36</v>
      </c>
      <c r="C279" s="94">
        <v>10660.13137254902</v>
      </c>
      <c r="D279" s="94">
        <v>10698.732352941177</v>
      </c>
      <c r="E279" s="95">
        <v>10873.334000000001</v>
      </c>
      <c r="F279" s="95">
        <v>10912.707</v>
      </c>
      <c r="G279" s="1130">
        <v>-0.36079957062898871</v>
      </c>
      <c r="H279" s="96">
        <v>364.8</v>
      </c>
      <c r="I279" s="96">
        <v>-28.470588235294116</v>
      </c>
      <c r="J279" s="104">
        <v>16.666666666666664</v>
      </c>
      <c r="K279" s="104">
        <v>2.6871401151631478</v>
      </c>
      <c r="L279" s="1136">
        <v>-0.66481519209942208</v>
      </c>
    </row>
    <row r="280" spans="1:12" ht="14.25">
      <c r="A280" s="44" t="s">
        <v>24</v>
      </c>
      <c r="B280" s="48" t="s">
        <v>37</v>
      </c>
      <c r="C280" s="105">
        <v>8393.7909662825587</v>
      </c>
      <c r="D280" s="105">
        <v>8525.520377248582</v>
      </c>
      <c r="E280" s="106">
        <v>8561.6667856082095</v>
      </c>
      <c r="F280" s="106">
        <v>8696.0307847935546</v>
      </c>
      <c r="G280" s="1137">
        <v>-1.54511871577436</v>
      </c>
      <c r="H280" s="107">
        <v>246.87366666666668</v>
      </c>
      <c r="I280" s="107">
        <v>-45.306359887186566</v>
      </c>
      <c r="J280" s="108">
        <v>36.363636363636367</v>
      </c>
      <c r="K280" s="108">
        <v>19.193857965451055</v>
      </c>
      <c r="L280" s="1138">
        <v>-1.2903133567090954</v>
      </c>
    </row>
    <row r="281" spans="1:12" ht="15">
      <c r="A281" s="46" t="s">
        <v>24</v>
      </c>
      <c r="B281" s="47" t="s">
        <v>102</v>
      </c>
      <c r="C281" s="116">
        <v>8056.2049019607839</v>
      </c>
      <c r="D281" s="116">
        <v>8560.3578431372553</v>
      </c>
      <c r="E281" s="117">
        <v>8217.3289999999997</v>
      </c>
      <c r="F281" s="117">
        <v>8731.5650000000005</v>
      </c>
      <c r="G281" s="1144">
        <v>-5.8893909625594123</v>
      </c>
      <c r="H281" s="118">
        <v>234.9</v>
      </c>
      <c r="I281" s="118">
        <v>-49.276614122219826</v>
      </c>
      <c r="J281" s="119">
        <v>22.839506172839506</v>
      </c>
      <c r="K281" s="119">
        <v>12.731925783749201</v>
      </c>
      <c r="L281" s="1145">
        <v>-2.351873098932364</v>
      </c>
    </row>
    <row r="282" spans="1:12" ht="15">
      <c r="A282" s="46" t="s">
        <v>24</v>
      </c>
      <c r="B282" s="47" t="s">
        <v>38</v>
      </c>
      <c r="C282" s="94">
        <v>8810.9803921568637</v>
      </c>
      <c r="D282" s="94">
        <v>8245.7774509803912</v>
      </c>
      <c r="E282" s="95">
        <v>8987.2000000000007</v>
      </c>
      <c r="F282" s="95">
        <v>8410.6929999999993</v>
      </c>
      <c r="G282" s="1130">
        <v>6.8544530159405594</v>
      </c>
      <c r="H282" s="96">
        <v>265.60000000000002</v>
      </c>
      <c r="I282" s="96">
        <v>-39.11049977074736</v>
      </c>
      <c r="J282" s="104">
        <v>74</v>
      </c>
      <c r="K282" s="104">
        <v>5.5662188099808061</v>
      </c>
      <c r="L282" s="1136">
        <v>0.91072532767168113</v>
      </c>
    </row>
    <row r="283" spans="1:12" ht="15.75" thickBot="1">
      <c r="A283" s="46" t="s">
        <v>24</v>
      </c>
      <c r="B283" s="47" t="s">
        <v>39</v>
      </c>
      <c r="C283" s="94">
        <v>9852.4372549019608</v>
      </c>
      <c r="D283" s="94">
        <v>9937.5392156862745</v>
      </c>
      <c r="E283" s="95">
        <v>10049.486000000001</v>
      </c>
      <c r="F283" s="95">
        <v>10136.290000000001</v>
      </c>
      <c r="G283" s="1130">
        <v>-0.85636855299128267</v>
      </c>
      <c r="H283" s="96">
        <v>300.7</v>
      </c>
      <c r="I283" s="96">
        <v>-2.6230569948186599</v>
      </c>
      <c r="J283" s="104">
        <v>75</v>
      </c>
      <c r="K283" s="104">
        <v>0.89571337172104937</v>
      </c>
      <c r="L283" s="1136">
        <v>0.15083441455158941</v>
      </c>
    </row>
    <row r="284" spans="1:12" ht="15.75" thickBot="1">
      <c r="A284" s="51"/>
      <c r="B284" s="52"/>
      <c r="C284" s="111"/>
      <c r="D284" s="111"/>
      <c r="E284" s="111"/>
      <c r="F284" s="111"/>
      <c r="G284" s="1140"/>
      <c r="H284" s="112"/>
      <c r="I284" s="112"/>
      <c r="J284" s="112"/>
      <c r="K284" s="112"/>
      <c r="L284" s="1141"/>
    </row>
    <row r="285" spans="1:12" ht="14.25">
      <c r="A285" s="44" t="s">
        <v>117</v>
      </c>
      <c r="B285" s="48" t="s">
        <v>25</v>
      </c>
      <c r="C285" s="105">
        <v>12574.307203952447</v>
      </c>
      <c r="D285" s="105">
        <v>11447.425198784398</v>
      </c>
      <c r="E285" s="106">
        <v>12825.793348031495</v>
      </c>
      <c r="F285" s="106">
        <v>11676.373702760086</v>
      </c>
      <c r="G285" s="1137">
        <v>9.843977886727858</v>
      </c>
      <c r="H285" s="107">
        <v>334.17894736842106</v>
      </c>
      <c r="I285" s="107">
        <v>-14.862482093731627</v>
      </c>
      <c r="J285" s="108">
        <v>58.333333333333336</v>
      </c>
      <c r="K285" s="108">
        <v>1.2156110044785668</v>
      </c>
      <c r="L285" s="1138">
        <v>9.8292568724376972E-2</v>
      </c>
    </row>
    <row r="286" spans="1:12" ht="15">
      <c r="A286" s="46" t="s">
        <v>117</v>
      </c>
      <c r="B286" s="47" t="s">
        <v>26</v>
      </c>
      <c r="C286" s="94">
        <v>11828.976470588235</v>
      </c>
      <c r="D286" s="94" t="s">
        <v>257</v>
      </c>
      <c r="E286" s="95">
        <v>12065.556</v>
      </c>
      <c r="F286" s="95" t="s">
        <v>257</v>
      </c>
      <c r="G286" s="1130" t="s">
        <v>100</v>
      </c>
      <c r="H286" s="96">
        <v>310</v>
      </c>
      <c r="I286" s="96" t="s">
        <v>100</v>
      </c>
      <c r="J286" s="104" t="s">
        <v>100</v>
      </c>
      <c r="K286" s="104" t="s">
        <v>100</v>
      </c>
      <c r="L286" s="1136" t="s">
        <v>100</v>
      </c>
    </row>
    <row r="287" spans="1:12" ht="15">
      <c r="A287" s="46" t="s">
        <v>117</v>
      </c>
      <c r="B287" s="47" t="s">
        <v>27</v>
      </c>
      <c r="C287" s="94">
        <v>12610.178431372549</v>
      </c>
      <c r="D287" s="94" t="s">
        <v>257</v>
      </c>
      <c r="E287" s="95">
        <v>12862.382</v>
      </c>
      <c r="F287" s="95" t="s">
        <v>257</v>
      </c>
      <c r="G287" s="1130" t="s">
        <v>100</v>
      </c>
      <c r="H287" s="96">
        <v>333.8</v>
      </c>
      <c r="I287" s="96" t="s">
        <v>100</v>
      </c>
      <c r="J287" s="104" t="s">
        <v>100</v>
      </c>
      <c r="K287" s="104" t="s">
        <v>100</v>
      </c>
      <c r="L287" s="1136" t="s">
        <v>100</v>
      </c>
    </row>
    <row r="288" spans="1:12" ht="15">
      <c r="A288" s="46" t="s">
        <v>117</v>
      </c>
      <c r="B288" s="47" t="s">
        <v>34</v>
      </c>
      <c r="C288" s="94">
        <v>13071.970588235294</v>
      </c>
      <c r="D288" s="94" t="s">
        <v>257</v>
      </c>
      <c r="E288" s="95">
        <v>13333.41</v>
      </c>
      <c r="F288" s="95" t="s">
        <v>257</v>
      </c>
      <c r="G288" s="1130" t="s">
        <v>100</v>
      </c>
      <c r="H288" s="96">
        <v>360</v>
      </c>
      <c r="I288" s="96" t="s">
        <v>100</v>
      </c>
      <c r="J288" s="104" t="s">
        <v>100</v>
      </c>
      <c r="K288" s="104" t="s">
        <v>100</v>
      </c>
      <c r="L288" s="1136" t="s">
        <v>100</v>
      </c>
    </row>
    <row r="289" spans="1:12" ht="14.25">
      <c r="A289" s="44" t="s">
        <v>117</v>
      </c>
      <c r="B289" s="48" t="s">
        <v>28</v>
      </c>
      <c r="C289" s="105">
        <v>12265.330197253468</v>
      </c>
      <c r="D289" s="105">
        <v>11826.375364060861</v>
      </c>
      <c r="E289" s="106">
        <v>12510.636801198538</v>
      </c>
      <c r="F289" s="106">
        <v>12062.902871342079</v>
      </c>
      <c r="G289" s="1137">
        <v>3.7116599099885232</v>
      </c>
      <c r="H289" s="107">
        <v>302.21574803149605</v>
      </c>
      <c r="I289" s="107">
        <v>-13.08365723586348</v>
      </c>
      <c r="J289" s="108">
        <v>122.80701754385966</v>
      </c>
      <c r="K289" s="108">
        <v>8.1253998720409459</v>
      </c>
      <c r="L289" s="1138">
        <v>2.8181373022085436</v>
      </c>
    </row>
    <row r="290" spans="1:12" ht="15">
      <c r="A290" s="46" t="s">
        <v>117</v>
      </c>
      <c r="B290" s="47" t="s">
        <v>29</v>
      </c>
      <c r="C290" s="94">
        <v>11836.026470588235</v>
      </c>
      <c r="D290" s="94">
        <v>11201.399019607843</v>
      </c>
      <c r="E290" s="95">
        <v>12072.746999999999</v>
      </c>
      <c r="F290" s="95">
        <v>11425.427</v>
      </c>
      <c r="G290" s="1130">
        <v>5.6656088214471083</v>
      </c>
      <c r="H290" s="96">
        <v>280.3</v>
      </c>
      <c r="I290" s="96">
        <v>-22.952171522814734</v>
      </c>
      <c r="J290" s="104">
        <v>130.76923076923077</v>
      </c>
      <c r="K290" s="104">
        <v>1.9193857965451053</v>
      </c>
      <c r="L290" s="1136">
        <v>0.70895749114473294</v>
      </c>
    </row>
    <row r="291" spans="1:12" ht="15">
      <c r="A291" s="46" t="s">
        <v>117</v>
      </c>
      <c r="B291" s="47" t="s">
        <v>30</v>
      </c>
      <c r="C291" s="94">
        <v>12338.039215686274</v>
      </c>
      <c r="D291" s="94">
        <v>11989.22156862745</v>
      </c>
      <c r="E291" s="95">
        <v>12584.8</v>
      </c>
      <c r="F291" s="95">
        <v>12229.005999999999</v>
      </c>
      <c r="G291" s="1130">
        <v>2.9094269804103448</v>
      </c>
      <c r="H291" s="96">
        <v>306.39999999999998</v>
      </c>
      <c r="I291" s="96">
        <v>-10.409356725146205</v>
      </c>
      <c r="J291" s="104">
        <v>100</v>
      </c>
      <c r="K291" s="104">
        <v>5.1183621241202815</v>
      </c>
      <c r="L291" s="1136">
        <v>1.3939673382729816</v>
      </c>
    </row>
    <row r="292" spans="1:12" ht="15">
      <c r="A292" s="46" t="s">
        <v>117</v>
      </c>
      <c r="B292" s="47" t="s">
        <v>35</v>
      </c>
      <c r="C292" s="94">
        <v>12600.192156862744</v>
      </c>
      <c r="D292" s="94" t="s">
        <v>257</v>
      </c>
      <c r="E292" s="95">
        <v>12852.196</v>
      </c>
      <c r="F292" s="95" t="s">
        <v>257</v>
      </c>
      <c r="G292" s="1130" t="s">
        <v>100</v>
      </c>
      <c r="H292" s="96">
        <v>321.2</v>
      </c>
      <c r="I292" s="96" t="s">
        <v>100</v>
      </c>
      <c r="J292" s="104" t="s">
        <v>100</v>
      </c>
      <c r="K292" s="104" t="s">
        <v>100</v>
      </c>
      <c r="L292" s="1136" t="s">
        <v>100</v>
      </c>
    </row>
    <row r="293" spans="1:12" ht="14.25">
      <c r="A293" s="44" t="s">
        <v>117</v>
      </c>
      <c r="B293" s="48" t="s">
        <v>31</v>
      </c>
      <c r="C293" s="105">
        <v>11761.469534155958</v>
      </c>
      <c r="D293" s="105">
        <v>11331.486694325085</v>
      </c>
      <c r="E293" s="106">
        <v>11996.698924839078</v>
      </c>
      <c r="F293" s="106">
        <v>11581.833889119709</v>
      </c>
      <c r="G293" s="1137">
        <v>3.5820323421242013</v>
      </c>
      <c r="H293" s="107">
        <v>276.53455497382197</v>
      </c>
      <c r="I293" s="107">
        <v>-15.25760140727728</v>
      </c>
      <c r="J293" s="108">
        <v>61.864406779661017</v>
      </c>
      <c r="K293" s="108">
        <v>12.220089571337173</v>
      </c>
      <c r="L293" s="1138">
        <v>1.2331249530876391</v>
      </c>
    </row>
    <row r="294" spans="1:12" ht="15">
      <c r="A294" s="46" t="s">
        <v>117</v>
      </c>
      <c r="B294" s="47" t="s">
        <v>32</v>
      </c>
      <c r="C294" s="94">
        <v>11524.282352941176</v>
      </c>
      <c r="D294" s="94">
        <v>11359.047058823528</v>
      </c>
      <c r="E294" s="95">
        <v>11754.768</v>
      </c>
      <c r="F294" s="95">
        <v>11586.227999999999</v>
      </c>
      <c r="G294" s="1130">
        <v>1.4546580647299612</v>
      </c>
      <c r="H294" s="96">
        <v>245.1</v>
      </c>
      <c r="I294" s="96">
        <v>0.24539877300613264</v>
      </c>
      <c r="J294" s="104">
        <v>86.36363636363636</v>
      </c>
      <c r="K294" s="104">
        <v>2.6231605886116443</v>
      </c>
      <c r="L294" s="1136">
        <v>0.57474345639562952</v>
      </c>
    </row>
    <row r="295" spans="1:12" ht="15">
      <c r="A295" s="46" t="s">
        <v>117</v>
      </c>
      <c r="B295" s="47" t="s">
        <v>33</v>
      </c>
      <c r="C295" s="94">
        <v>11862.64411764706</v>
      </c>
      <c r="D295" s="94">
        <v>11223.185294117646</v>
      </c>
      <c r="E295" s="95">
        <v>12099.897000000001</v>
      </c>
      <c r="F295" s="95">
        <v>11447.648999999999</v>
      </c>
      <c r="G295" s="1130">
        <v>5.6976589691036246</v>
      </c>
      <c r="H295" s="96">
        <v>279.89999999999998</v>
      </c>
      <c r="I295" s="96">
        <v>-21.574670776127768</v>
      </c>
      <c r="J295" s="96">
        <v>69.444444444444443</v>
      </c>
      <c r="K295" s="96">
        <v>7.8055022392834292</v>
      </c>
      <c r="L295" s="1131">
        <v>1.1015916247582895</v>
      </c>
    </row>
    <row r="296" spans="1:12" ht="15.75" thickBot="1">
      <c r="A296" s="56" t="s">
        <v>117</v>
      </c>
      <c r="B296" s="57" t="s">
        <v>36</v>
      </c>
      <c r="C296" s="97">
        <v>11637.179411764706</v>
      </c>
      <c r="D296" s="97">
        <v>11637.179411764706</v>
      </c>
      <c r="E296" s="98">
        <v>11869.923000000001</v>
      </c>
      <c r="F296" s="98">
        <v>12042.790999999999</v>
      </c>
      <c r="G296" s="1132">
        <v>-1.435447978794937</v>
      </c>
      <c r="H296" s="99">
        <v>307.89999999999998</v>
      </c>
      <c r="I296" s="99">
        <v>-0.54909560723515671</v>
      </c>
      <c r="J296" s="99">
        <v>16.666666666666664</v>
      </c>
      <c r="K296" s="99">
        <v>2.5454545454545454</v>
      </c>
      <c r="L296" s="1133">
        <v>0.57662763815347895</v>
      </c>
    </row>
    <row r="297" spans="1:12">
      <c r="G297" s="699"/>
      <c r="H297" s="699"/>
      <c r="I297" s="699"/>
      <c r="J297" s="80"/>
      <c r="K297" s="80"/>
      <c r="L297" s="80"/>
    </row>
    <row r="298" spans="1:12">
      <c r="G298" s="699"/>
      <c r="H298" s="699"/>
      <c r="I298" s="699"/>
      <c r="J298" s="80"/>
      <c r="K298" s="80"/>
      <c r="L298" s="80"/>
    </row>
    <row r="299" spans="1:12">
      <c r="G299" s="699"/>
      <c r="H299" s="699"/>
      <c r="I299" s="699"/>
      <c r="J299" s="80"/>
      <c r="K299" s="80"/>
      <c r="L299" s="80"/>
    </row>
    <row r="300" spans="1:12">
      <c r="G300" s="699"/>
      <c r="H300" s="699"/>
      <c r="I300" s="699"/>
      <c r="J300" s="80"/>
      <c r="K300" s="80"/>
      <c r="L300" s="80"/>
    </row>
    <row r="301" spans="1:12">
      <c r="G301" s="699"/>
      <c r="H301" s="699"/>
      <c r="I301" s="699"/>
      <c r="J301" s="80"/>
      <c r="K301" s="80"/>
      <c r="L301" s="80"/>
    </row>
    <row r="302" spans="1:12">
      <c r="G302" s="699"/>
      <c r="H302" s="699"/>
      <c r="I302" s="699"/>
      <c r="J302" s="80"/>
      <c r="K302" s="80"/>
      <c r="L302" s="80"/>
    </row>
    <row r="303" spans="1:12">
      <c r="G303" s="699"/>
      <c r="H303" s="699"/>
      <c r="I303" s="699"/>
      <c r="J303" s="80"/>
      <c r="K303" s="80"/>
      <c r="L303" s="80"/>
    </row>
    <row r="304" spans="1:12">
      <c r="G304" s="699"/>
      <c r="H304" s="699"/>
      <c r="I304" s="699"/>
      <c r="J304" s="80"/>
      <c r="K304" s="80"/>
      <c r="L304" s="80"/>
    </row>
    <row r="305" spans="7:12">
      <c r="G305" s="699"/>
      <c r="H305" s="699"/>
      <c r="I305" s="699"/>
      <c r="J305" s="80"/>
      <c r="K305" s="80"/>
      <c r="L305" s="80"/>
    </row>
    <row r="306" spans="7:12">
      <c r="G306" s="699"/>
      <c r="H306" s="699"/>
      <c r="I306" s="699"/>
      <c r="J306" s="80"/>
      <c r="K306" s="80"/>
      <c r="L306" s="80"/>
    </row>
    <row r="307" spans="7:12">
      <c r="G307" s="699"/>
      <c r="H307" s="699"/>
      <c r="I307" s="699"/>
      <c r="J307" s="80"/>
      <c r="K307" s="80"/>
      <c r="L307" s="80"/>
    </row>
    <row r="308" spans="7:12">
      <c r="G308" s="699"/>
      <c r="H308" s="699"/>
      <c r="I308" s="699"/>
      <c r="J308" s="80"/>
      <c r="K308" s="80"/>
      <c r="L308" s="80"/>
    </row>
    <row r="309" spans="7:12">
      <c r="G309" s="699"/>
      <c r="H309" s="699"/>
      <c r="I309" s="699"/>
      <c r="J309" s="80"/>
      <c r="K309" s="80"/>
      <c r="L309" s="80"/>
    </row>
    <row r="310" spans="7:12">
      <c r="G310" s="699"/>
      <c r="H310" s="699"/>
      <c r="I310" s="699"/>
      <c r="J310" s="80"/>
      <c r="K310" s="80"/>
      <c r="L310" s="80"/>
    </row>
    <row r="311" spans="7:12">
      <c r="G311" s="699"/>
      <c r="H311" s="699"/>
      <c r="I311" s="699"/>
      <c r="J311" s="80"/>
      <c r="K311" s="80"/>
      <c r="L311" s="80"/>
    </row>
    <row r="312" spans="7:12">
      <c r="G312" s="699"/>
      <c r="H312" s="699"/>
      <c r="I312" s="699"/>
      <c r="J312" s="80"/>
      <c r="K312" s="80"/>
      <c r="L312" s="80"/>
    </row>
    <row r="313" spans="7:12">
      <c r="G313" s="699"/>
      <c r="H313" s="699"/>
      <c r="I313" s="699"/>
      <c r="J313" s="80"/>
      <c r="K313" s="80"/>
      <c r="L313" s="80"/>
    </row>
    <row r="314" spans="7:12">
      <c r="G314" s="699"/>
      <c r="H314" s="699"/>
      <c r="I314" s="699"/>
      <c r="J314" s="80"/>
      <c r="K314" s="80"/>
      <c r="L314" s="80"/>
    </row>
    <row r="315" spans="7:12">
      <c r="G315" s="699"/>
      <c r="H315" s="699"/>
      <c r="I315" s="699"/>
      <c r="J315" s="80"/>
      <c r="K315" s="80"/>
      <c r="L315" s="80"/>
    </row>
    <row r="316" spans="7:12">
      <c r="G316" s="699"/>
      <c r="H316" s="699"/>
      <c r="I316" s="699"/>
      <c r="J316" s="80"/>
      <c r="K316" s="80"/>
      <c r="L316" s="80"/>
    </row>
    <row r="317" spans="7:12">
      <c r="G317" s="699"/>
      <c r="H317" s="699"/>
      <c r="I317" s="699"/>
      <c r="J317" s="80"/>
      <c r="K317" s="80"/>
      <c r="L317" s="80"/>
    </row>
    <row r="318" spans="7:12">
      <c r="G318" s="699"/>
      <c r="H318" s="699"/>
      <c r="I318" s="699"/>
      <c r="J318" s="80"/>
      <c r="K318" s="80"/>
      <c r="L318" s="80"/>
    </row>
    <row r="319" spans="7:12">
      <c r="G319" s="699"/>
      <c r="H319" s="699"/>
      <c r="I319" s="699"/>
      <c r="J319" s="80"/>
      <c r="K319" s="80"/>
      <c r="L319" s="80"/>
    </row>
    <row r="320" spans="7:12">
      <c r="G320" s="699"/>
      <c r="H320" s="699"/>
      <c r="I320" s="699"/>
      <c r="J320" s="80"/>
      <c r="K320" s="80"/>
      <c r="L320" s="80"/>
    </row>
    <row r="321" spans="7:12">
      <c r="G321" s="699"/>
      <c r="H321" s="699"/>
      <c r="I321" s="699"/>
      <c r="J321" s="80"/>
      <c r="K321" s="80"/>
      <c r="L321" s="80"/>
    </row>
    <row r="322" spans="7:12">
      <c r="G322" s="699"/>
      <c r="H322" s="699"/>
      <c r="I322" s="699"/>
      <c r="J322" s="80"/>
      <c r="K322" s="80"/>
      <c r="L322" s="80"/>
    </row>
    <row r="323" spans="7:12">
      <c r="G323" s="699"/>
      <c r="H323" s="699"/>
      <c r="I323" s="699"/>
      <c r="J323" s="80"/>
      <c r="K323" s="80"/>
      <c r="L323" s="80"/>
    </row>
    <row r="324" spans="7:12">
      <c r="G324" s="699"/>
      <c r="H324" s="699"/>
      <c r="I324" s="699"/>
      <c r="J324" s="80"/>
      <c r="K324" s="80"/>
      <c r="L324" s="80"/>
    </row>
    <row r="325" spans="7:12">
      <c r="G325" s="699"/>
      <c r="H325" s="699"/>
      <c r="I325" s="699"/>
      <c r="J325" s="80"/>
      <c r="K325" s="80"/>
      <c r="L325" s="80"/>
    </row>
    <row r="326" spans="7:12">
      <c r="G326" s="699"/>
      <c r="H326" s="699"/>
      <c r="I326" s="699"/>
      <c r="J326" s="80"/>
      <c r="K326" s="80"/>
      <c r="L326" s="80"/>
    </row>
    <row r="327" spans="7:12">
      <c r="G327" s="699"/>
      <c r="H327" s="699"/>
      <c r="I327" s="699"/>
      <c r="J327" s="80"/>
      <c r="K327" s="80"/>
      <c r="L327" s="80"/>
    </row>
    <row r="328" spans="7:12">
      <c r="G328" s="699"/>
      <c r="H328" s="699"/>
      <c r="I328" s="699"/>
      <c r="J328" s="80"/>
      <c r="K328" s="80"/>
      <c r="L328" s="80"/>
    </row>
    <row r="329" spans="7:12">
      <c r="G329" s="699"/>
      <c r="H329" s="699"/>
      <c r="I329" s="699"/>
      <c r="J329" s="80"/>
      <c r="K329" s="80"/>
      <c r="L329" s="80"/>
    </row>
    <row r="330" spans="7:12">
      <c r="G330" s="699"/>
      <c r="H330" s="699"/>
      <c r="I330" s="699"/>
      <c r="J330" s="80"/>
      <c r="K330" s="80"/>
      <c r="L330" s="80"/>
    </row>
    <row r="331" spans="7:12">
      <c r="G331" s="699"/>
      <c r="H331" s="699"/>
      <c r="I331" s="699"/>
      <c r="J331" s="80"/>
      <c r="K331" s="80"/>
      <c r="L331" s="80"/>
    </row>
    <row r="332" spans="7:12">
      <c r="G332" s="699"/>
      <c r="H332" s="699"/>
      <c r="I332" s="699"/>
      <c r="J332" s="80"/>
      <c r="K332" s="80"/>
      <c r="L332" s="80"/>
    </row>
    <row r="333" spans="7:12">
      <c r="G333" s="699"/>
      <c r="H333" s="699"/>
      <c r="I333" s="699"/>
      <c r="J333" s="80"/>
      <c r="K333" s="80"/>
      <c r="L333" s="80"/>
    </row>
    <row r="334" spans="7:12">
      <c r="G334" s="699"/>
      <c r="H334" s="80"/>
      <c r="I334" s="699"/>
      <c r="J334" s="80"/>
      <c r="K334" s="80"/>
      <c r="L334" s="80"/>
    </row>
    <row r="335" spans="7:12">
      <c r="G335" s="699"/>
      <c r="H335" s="80"/>
      <c r="I335" s="699"/>
      <c r="J335" s="80"/>
      <c r="K335" s="80"/>
      <c r="L335" s="80"/>
    </row>
    <row r="336" spans="7:12">
      <c r="G336" s="699"/>
      <c r="H336" s="80"/>
      <c r="I336" s="699"/>
      <c r="J336" s="80"/>
      <c r="K336" s="80"/>
      <c r="L336" s="80"/>
    </row>
    <row r="337" spans="7:12">
      <c r="G337" s="699"/>
      <c r="H337" s="80"/>
      <c r="I337" s="699"/>
      <c r="J337" s="80"/>
      <c r="K337" s="80"/>
      <c r="L337" s="80"/>
    </row>
    <row r="338" spans="7:12">
      <c r="G338" s="699"/>
      <c r="H338" s="80"/>
      <c r="I338" s="699"/>
      <c r="J338" s="80"/>
      <c r="K338" s="80"/>
      <c r="L338" s="80"/>
    </row>
    <row r="339" spans="7:12">
      <c r="G339" s="699"/>
      <c r="H339" s="80"/>
      <c r="I339" s="699"/>
      <c r="J339" s="80"/>
      <c r="K339" s="80"/>
      <c r="L339" s="80"/>
    </row>
    <row r="340" spans="7:12">
      <c r="G340" s="699"/>
      <c r="H340" s="80"/>
      <c r="I340" s="699"/>
      <c r="J340" s="80"/>
      <c r="K340" s="80"/>
      <c r="L340" s="80"/>
    </row>
    <row r="341" spans="7:12">
      <c r="G341" s="699"/>
      <c r="H341" s="80"/>
      <c r="I341" s="699"/>
      <c r="J341" s="80"/>
      <c r="K341" s="80"/>
      <c r="L341" s="80"/>
    </row>
    <row r="342" spans="7:12">
      <c r="G342" s="699"/>
      <c r="H342" s="80"/>
      <c r="I342" s="699"/>
      <c r="J342" s="80"/>
      <c r="K342" s="80"/>
      <c r="L342" s="80"/>
    </row>
    <row r="343" spans="7:12">
      <c r="G343" s="699"/>
      <c r="H343" s="80"/>
      <c r="I343" s="699"/>
      <c r="J343" s="80"/>
      <c r="K343" s="80"/>
      <c r="L343" s="80"/>
    </row>
    <row r="344" spans="7:12">
      <c r="G344" s="699"/>
      <c r="H344" s="80"/>
      <c r="I344" s="699"/>
      <c r="J344" s="80"/>
      <c r="K344" s="80"/>
      <c r="L344" s="80"/>
    </row>
    <row r="345" spans="7:12">
      <c r="G345" s="699"/>
      <c r="H345" s="80"/>
      <c r="I345" s="699"/>
      <c r="J345" s="80"/>
      <c r="K345" s="80"/>
      <c r="L345" s="80"/>
    </row>
    <row r="346" spans="7:12">
      <c r="G346" s="699"/>
      <c r="H346" s="80"/>
      <c r="I346" s="699"/>
      <c r="J346" s="80"/>
      <c r="K346" s="80"/>
      <c r="L346" s="80"/>
    </row>
    <row r="347" spans="7:12">
      <c r="G347" s="699"/>
      <c r="H347" s="80"/>
      <c r="I347" s="80"/>
      <c r="J347" s="80"/>
      <c r="K347" s="80"/>
      <c r="L347" s="80"/>
    </row>
    <row r="348" spans="7:12">
      <c r="G348" s="699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</sheetData>
  <mergeCells count="8">
    <mergeCell ref="H153:I153"/>
    <mergeCell ref="H227:I227"/>
    <mergeCell ref="H4:I4"/>
    <mergeCell ref="H5:I5"/>
    <mergeCell ref="H78:I78"/>
    <mergeCell ref="H79:I79"/>
    <mergeCell ref="H152:I152"/>
    <mergeCell ref="H226:I226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B3" sqref="B3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87" t="s">
        <v>128</v>
      </c>
      <c r="B1" s="1187"/>
      <c r="C1" s="1187"/>
      <c r="D1" s="1187"/>
      <c r="E1" s="1187"/>
      <c r="F1" s="1187"/>
      <c r="G1" s="1187"/>
      <c r="H1" s="1187"/>
    </row>
    <row r="2" spans="1:18" ht="40.5" customHeight="1">
      <c r="A2" s="910" t="s">
        <v>129</v>
      </c>
      <c r="B2" s="3" t="s">
        <v>9</v>
      </c>
      <c r="C2" s="3"/>
      <c r="D2" s="911" t="s">
        <v>130</v>
      </c>
      <c r="E2" s="1188" t="s">
        <v>131</v>
      </c>
      <c r="F2" s="1189"/>
      <c r="G2" s="1190"/>
      <c r="H2" s="912" t="s">
        <v>132</v>
      </c>
    </row>
    <row r="3" spans="1:18" ht="27.75" thickBot="1">
      <c r="A3" s="637"/>
      <c r="B3" s="1153" t="s">
        <v>381</v>
      </c>
      <c r="C3" s="1153" t="s">
        <v>375</v>
      </c>
      <c r="D3" s="926" t="s">
        <v>70</v>
      </c>
      <c r="E3" s="996" t="s">
        <v>381</v>
      </c>
      <c r="F3" s="656" t="s">
        <v>375</v>
      </c>
      <c r="G3" s="927" t="s">
        <v>133</v>
      </c>
      <c r="H3" s="928" t="s">
        <v>134</v>
      </c>
    </row>
    <row r="4" spans="1:18" ht="15.75">
      <c r="A4" s="692" t="s">
        <v>8</v>
      </c>
      <c r="B4" s="913"/>
      <c r="C4" s="913"/>
      <c r="D4" s="914"/>
      <c r="E4" s="915"/>
      <c r="F4" s="915"/>
      <c r="G4" s="916"/>
      <c r="H4" s="917"/>
    </row>
    <row r="5" spans="1:18" ht="15">
      <c r="A5" s="458" t="s">
        <v>312</v>
      </c>
      <c r="B5" s="145">
        <v>12874.447971039446</v>
      </c>
      <c r="C5" s="145">
        <v>12759.569083612127</v>
      </c>
      <c r="D5" s="888">
        <v>0.90033516551013737</v>
      </c>
      <c r="E5" s="929">
        <v>100</v>
      </c>
      <c r="F5" s="930">
        <v>100</v>
      </c>
      <c r="G5" s="677" t="s">
        <v>100</v>
      </c>
      <c r="H5" s="680">
        <v>26.483515041786372</v>
      </c>
    </row>
    <row r="6" spans="1:18">
      <c r="A6" s="665" t="s">
        <v>135</v>
      </c>
      <c r="B6" s="94">
        <v>10672.504999999999</v>
      </c>
      <c r="C6" s="94">
        <v>10100.781999999999</v>
      </c>
      <c r="D6" s="889">
        <v>5.6601855183093743</v>
      </c>
      <c r="E6" s="931">
        <v>14.372400344373334</v>
      </c>
      <c r="F6" s="932">
        <v>18.580837302055862</v>
      </c>
      <c r="G6" s="675">
        <v>-22.649339689427713</v>
      </c>
      <c r="H6" s="676">
        <v>-2.1641659311562207</v>
      </c>
    </row>
    <row r="7" spans="1:18">
      <c r="A7" s="665" t="s">
        <v>136</v>
      </c>
      <c r="B7" s="94">
        <v>15250.183999999999</v>
      </c>
      <c r="C7" s="94">
        <v>14969.983</v>
      </c>
      <c r="D7" s="889">
        <v>1.8717522925710679</v>
      </c>
      <c r="E7" s="931">
        <v>9.2830396133060891</v>
      </c>
      <c r="F7" s="932">
        <v>11.136038624526048</v>
      </c>
      <c r="G7" s="675">
        <v>-16.639660418731918</v>
      </c>
      <c r="H7" s="676">
        <v>5.4370876531574099</v>
      </c>
    </row>
    <row r="8" spans="1:18" ht="13.5" thickBot="1">
      <c r="A8" s="666" t="s">
        <v>137</v>
      </c>
      <c r="B8" s="97">
        <v>13000.103999999999</v>
      </c>
      <c r="C8" s="97">
        <v>13112.245999999999</v>
      </c>
      <c r="D8" s="890">
        <v>-0.85524630944233226</v>
      </c>
      <c r="E8" s="933">
        <v>76.34456004232058</v>
      </c>
      <c r="F8" s="934">
        <v>70.283124073418094</v>
      </c>
      <c r="G8" s="678">
        <v>8.6243120931429864</v>
      </c>
      <c r="H8" s="681">
        <v>37.391848125367495</v>
      </c>
    </row>
    <row r="9" spans="1:18" ht="15">
      <c r="A9" s="638" t="s">
        <v>313</v>
      </c>
      <c r="B9" s="146">
        <v>11070.768867049741</v>
      </c>
      <c r="C9" s="146">
        <v>10939.983178791639</v>
      </c>
      <c r="D9" s="891">
        <v>1.1954834492949153</v>
      </c>
      <c r="E9" s="935">
        <v>100</v>
      </c>
      <c r="F9" s="936">
        <v>100</v>
      </c>
      <c r="G9" s="679" t="s">
        <v>100</v>
      </c>
      <c r="H9" s="682">
        <v>64.501493000349015</v>
      </c>
    </row>
    <row r="10" spans="1:18">
      <c r="A10" s="665" t="s">
        <v>135</v>
      </c>
      <c r="B10" s="94">
        <v>9266.9660000000003</v>
      </c>
      <c r="C10" s="94">
        <v>9198.6540000000005</v>
      </c>
      <c r="D10" s="889">
        <v>0.74263038918519919</v>
      </c>
      <c r="E10" s="931">
        <v>3.0634134842055634</v>
      </c>
      <c r="F10" s="932">
        <v>3.7528599682010313</v>
      </c>
      <c r="G10" s="675">
        <v>-18.37122860531246</v>
      </c>
      <c r="H10" s="676">
        <v>34.280547662102805</v>
      </c>
    </row>
    <row r="11" spans="1:18">
      <c r="A11" s="665" t="s">
        <v>136</v>
      </c>
      <c r="B11" s="94">
        <v>14703.268</v>
      </c>
      <c r="C11" s="94">
        <v>14577.164000000001</v>
      </c>
      <c r="D11" s="889">
        <v>0.86507910592210768</v>
      </c>
      <c r="E11" s="931">
        <v>4.2026166902404531</v>
      </c>
      <c r="F11" s="932">
        <v>5.8449994183115521</v>
      </c>
      <c r="G11" s="675">
        <v>-28.098937408372489</v>
      </c>
      <c r="H11" s="676">
        <v>18.278321446342684</v>
      </c>
    </row>
    <row r="12" spans="1:18" ht="13.5" thickBot="1">
      <c r="A12" s="667" t="s">
        <v>137</v>
      </c>
      <c r="B12" s="94">
        <v>10965.735000000001</v>
      </c>
      <c r="C12" s="94">
        <v>10777.107</v>
      </c>
      <c r="D12" s="889">
        <v>1.7502656325115877</v>
      </c>
      <c r="E12" s="931">
        <v>92.733969825553984</v>
      </c>
      <c r="F12" s="932">
        <v>90.402140613487418</v>
      </c>
      <c r="G12" s="675">
        <v>2.5793960145659116</v>
      </c>
      <c r="H12" s="676">
        <v>68.744637954701432</v>
      </c>
      <c r="P12"/>
      <c r="Q12"/>
      <c r="R12"/>
    </row>
    <row r="13" spans="1:18" ht="15.75">
      <c r="A13" s="692" t="s">
        <v>138</v>
      </c>
      <c r="B13" s="696"/>
      <c r="C13" s="696"/>
      <c r="D13" s="892"/>
      <c r="E13" s="937"/>
      <c r="F13" s="937"/>
      <c r="G13" s="697"/>
      <c r="H13" s="698"/>
      <c r="P13"/>
      <c r="Q13"/>
      <c r="R13"/>
    </row>
    <row r="14" spans="1:18" ht="15">
      <c r="A14" s="458" t="s">
        <v>312</v>
      </c>
      <c r="B14" s="145">
        <v>12800.864534750848</v>
      </c>
      <c r="C14" s="145">
        <v>13125.008565712475</v>
      </c>
      <c r="D14" s="888">
        <v>-2.4696671955583649</v>
      </c>
      <c r="E14" s="929">
        <v>100</v>
      </c>
      <c r="F14" s="930">
        <v>100</v>
      </c>
      <c r="G14" s="677" t="s">
        <v>100</v>
      </c>
      <c r="H14" s="680">
        <v>16.579176909047671</v>
      </c>
      <c r="P14"/>
      <c r="Q14"/>
      <c r="R14"/>
    </row>
    <row r="15" spans="1:18">
      <c r="A15" s="665" t="s">
        <v>135</v>
      </c>
      <c r="B15" s="94">
        <v>11567.173000000001</v>
      </c>
      <c r="C15" s="94">
        <v>10727.457</v>
      </c>
      <c r="D15" s="889">
        <v>7.8277265525277837</v>
      </c>
      <c r="E15" s="931">
        <v>8.198996041301065</v>
      </c>
      <c r="F15" s="932">
        <v>2.7705970977717866</v>
      </c>
      <c r="G15" s="675">
        <v>195.92884681410339</v>
      </c>
      <c r="H15" s="676">
        <v>244.99141385231829</v>
      </c>
    </row>
    <row r="16" spans="1:18">
      <c r="A16" s="665" t="s">
        <v>136</v>
      </c>
      <c r="B16" s="94">
        <v>14178.895</v>
      </c>
      <c r="C16" s="94">
        <v>15191.504999999999</v>
      </c>
      <c r="D16" s="889">
        <v>-6.6656331943411722</v>
      </c>
      <c r="E16" s="931">
        <v>2.8567930457494999</v>
      </c>
      <c r="F16" s="932">
        <v>3.4826738561573234</v>
      </c>
      <c r="G16" s="675">
        <v>-17.971272541104419</v>
      </c>
      <c r="H16" s="676">
        <v>-4.371584699453555</v>
      </c>
    </row>
    <row r="17" spans="1:13" ht="13.5" thickBot="1">
      <c r="A17" s="666" t="s">
        <v>137</v>
      </c>
      <c r="B17" s="97">
        <v>12870.326999999999</v>
      </c>
      <c r="C17" s="97">
        <v>13119.096</v>
      </c>
      <c r="D17" s="890">
        <v>-1.8962358382010487</v>
      </c>
      <c r="E17" s="933">
        <v>88.944210912949444</v>
      </c>
      <c r="F17" s="934">
        <v>93.746729046070897</v>
      </c>
      <c r="G17" s="678">
        <v>-5.1228647463116319</v>
      </c>
      <c r="H17" s="681">
        <v>10.606983353633789</v>
      </c>
    </row>
    <row r="18" spans="1:13" ht="15">
      <c r="A18" s="638" t="s">
        <v>313</v>
      </c>
      <c r="B18" s="146">
        <v>11148.295000000002</v>
      </c>
      <c r="C18" s="146">
        <v>11066.963462912303</v>
      </c>
      <c r="D18" s="891">
        <v>0.73490381856105214</v>
      </c>
      <c r="E18" s="935">
        <v>100</v>
      </c>
      <c r="F18" s="936">
        <v>100</v>
      </c>
      <c r="G18" s="679" t="s">
        <v>100</v>
      </c>
      <c r="H18" s="682">
        <v>93.658948866795669</v>
      </c>
    </row>
    <row r="19" spans="1:13">
      <c r="A19" s="665" t="s">
        <v>135</v>
      </c>
      <c r="B19" s="94" t="s">
        <v>100</v>
      </c>
      <c r="C19" s="94" t="s">
        <v>257</v>
      </c>
      <c r="D19" s="889" t="s">
        <v>100</v>
      </c>
      <c r="E19" s="931" t="s">
        <v>100</v>
      </c>
      <c r="F19" s="932">
        <v>0.15346633749249347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100</v>
      </c>
      <c r="C20" s="94" t="s">
        <v>257</v>
      </c>
      <c r="D20" s="889" t="s">
        <v>100</v>
      </c>
      <c r="E20" s="931" t="s">
        <v>100</v>
      </c>
      <c r="F20" s="932">
        <v>0.12455238984898025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11148.295</v>
      </c>
      <c r="C21" s="94">
        <v>11065.096</v>
      </c>
      <c r="D21" s="889">
        <v>0.75190490891358319</v>
      </c>
      <c r="E21" s="931">
        <v>100</v>
      </c>
      <c r="F21" s="932">
        <v>99.721981272658525</v>
      </c>
      <c r="G21" s="675">
        <v>0.27879382638951011</v>
      </c>
      <c r="H21" s="676">
        <v>94.198858060487112</v>
      </c>
    </row>
    <row r="22" spans="1:13" ht="15.75">
      <c r="A22" s="692" t="s">
        <v>139</v>
      </c>
      <c r="B22" s="696"/>
      <c r="C22" s="696"/>
      <c r="D22" s="892"/>
      <c r="E22" s="937"/>
      <c r="F22" s="937"/>
      <c r="G22" s="697"/>
      <c r="H22" s="698"/>
    </row>
    <row r="23" spans="1:13" ht="15">
      <c r="A23" s="458" t="s">
        <v>312</v>
      </c>
      <c r="B23" s="145">
        <v>12933.867103771394</v>
      </c>
      <c r="C23" s="145">
        <v>12327.102453415397</v>
      </c>
      <c r="D23" s="888">
        <v>4.922200108654768</v>
      </c>
      <c r="E23" s="929">
        <v>100</v>
      </c>
      <c r="F23" s="930">
        <v>100</v>
      </c>
      <c r="G23" s="677" t="s">
        <v>100</v>
      </c>
      <c r="H23" s="680">
        <v>23.480871349263793</v>
      </c>
    </row>
    <row r="24" spans="1:13">
      <c r="A24" s="665" t="s">
        <v>135</v>
      </c>
      <c r="B24" s="94">
        <v>10284.232</v>
      </c>
      <c r="C24" s="94">
        <v>9944.9709999999995</v>
      </c>
      <c r="D24" s="889">
        <v>3.411382496741322</v>
      </c>
      <c r="E24" s="931">
        <v>22.932574248958502</v>
      </c>
      <c r="F24" s="932">
        <v>37.014240888245233</v>
      </c>
      <c r="G24" s="675">
        <v>-38.04391580473748</v>
      </c>
      <c r="H24" s="676">
        <v>-23.496087381806326</v>
      </c>
    </row>
    <row r="25" spans="1:13">
      <c r="A25" s="665" t="s">
        <v>136</v>
      </c>
      <c r="B25" s="94" t="s">
        <v>257</v>
      </c>
      <c r="C25" s="94" t="s">
        <v>257</v>
      </c>
      <c r="D25" s="889" t="s">
        <v>100</v>
      </c>
      <c r="E25" s="931">
        <v>16.76053412825431</v>
      </c>
      <c r="F25" s="932">
        <v>20.284214337436637</v>
      </c>
      <c r="G25" s="675" t="s">
        <v>100</v>
      </c>
      <c r="H25" s="676" t="s">
        <v>100</v>
      </c>
    </row>
    <row r="26" spans="1:13" ht="16.5" thickBot="1">
      <c r="A26" s="666" t="s">
        <v>137</v>
      </c>
      <c r="B26" s="97">
        <v>13271.707</v>
      </c>
      <c r="C26" s="97">
        <v>13194.927</v>
      </c>
      <c r="D26" s="890">
        <v>0.58189029768789668</v>
      </c>
      <c r="E26" s="933">
        <v>60.306891622787198</v>
      </c>
      <c r="F26" s="934">
        <v>42.701544774318116</v>
      </c>
      <c r="G26" s="678">
        <v>41.228828937021085</v>
      </c>
      <c r="H26" s="681">
        <v>74.390588567794808</v>
      </c>
      <c r="J26" s="129"/>
      <c r="K26" s="122"/>
      <c r="L26" s="122"/>
      <c r="M26" s="122"/>
    </row>
    <row r="27" spans="1:13" ht="15">
      <c r="A27" s="638" t="s">
        <v>313</v>
      </c>
      <c r="B27" s="146">
        <v>11092.782012636018</v>
      </c>
      <c r="C27" s="146">
        <v>11106.700930633995</v>
      </c>
      <c r="D27" s="891">
        <v>-0.12532000352675521</v>
      </c>
      <c r="E27" s="935">
        <v>100</v>
      </c>
      <c r="F27" s="936">
        <v>100</v>
      </c>
      <c r="G27" s="679" t="s">
        <v>100</v>
      </c>
      <c r="H27" s="682">
        <v>61.858268721483043</v>
      </c>
      <c r="J27" s="1186"/>
      <c r="K27" s="1186"/>
      <c r="L27" s="1186"/>
      <c r="M27" s="1186"/>
    </row>
    <row r="28" spans="1:13">
      <c r="A28" s="665" t="s">
        <v>135</v>
      </c>
      <c r="B28" s="94" t="s">
        <v>257</v>
      </c>
      <c r="C28" s="94" t="s">
        <v>257</v>
      </c>
      <c r="D28" s="889" t="s">
        <v>100</v>
      </c>
      <c r="E28" s="931">
        <v>0.2424696420123009</v>
      </c>
      <c r="F28" s="932">
        <v>0.71790944768833165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89" t="s">
        <v>100</v>
      </c>
      <c r="E29" s="931">
        <v>1.9062450717552435</v>
      </c>
      <c r="F29" s="932">
        <v>5.9315273922338161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11009.55</v>
      </c>
      <c r="C30" s="94">
        <v>10892.619000000001</v>
      </c>
      <c r="D30" s="889">
        <v>1.0734883869526572</v>
      </c>
      <c r="E30" s="931">
        <v>97.851285286232454</v>
      </c>
      <c r="F30" s="932">
        <v>93.350563160077854</v>
      </c>
      <c r="G30" s="675">
        <v>4.8213122382954952</v>
      </c>
      <c r="H30" s="676">
        <v>69.661961240045116</v>
      </c>
    </row>
    <row r="31" spans="1:13" ht="15.75">
      <c r="A31" s="692" t="s">
        <v>140</v>
      </c>
      <c r="B31" s="696"/>
      <c r="C31" s="696"/>
      <c r="D31" s="892"/>
      <c r="E31" s="937"/>
      <c r="F31" s="937"/>
      <c r="G31" s="697"/>
      <c r="H31" s="698"/>
    </row>
    <row r="32" spans="1:13" ht="15">
      <c r="A32" s="458" t="s">
        <v>312</v>
      </c>
      <c r="B32" s="145">
        <v>12889.009702819611</v>
      </c>
      <c r="C32" s="145">
        <v>13003.066247716351</v>
      </c>
      <c r="D32" s="888">
        <v>-0.87715114822837992</v>
      </c>
      <c r="E32" s="929">
        <v>100</v>
      </c>
      <c r="F32" s="930">
        <v>100</v>
      </c>
      <c r="G32" s="677" t="s">
        <v>100</v>
      </c>
      <c r="H32" s="680">
        <v>62.136889042815689</v>
      </c>
    </row>
    <row r="33" spans="1:8">
      <c r="A33" s="665" t="s">
        <v>135</v>
      </c>
      <c r="B33" s="94" t="s">
        <v>257</v>
      </c>
      <c r="C33" s="94" t="s">
        <v>257</v>
      </c>
      <c r="D33" s="889" t="s">
        <v>100</v>
      </c>
      <c r="E33" s="931">
        <v>7.7806258677774229</v>
      </c>
      <c r="F33" s="932">
        <v>8.8402095328802108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9" t="s">
        <v>100</v>
      </c>
      <c r="E34" s="931">
        <v>5.553775499305778</v>
      </c>
      <c r="F34" s="932">
        <v>5.7751417810294816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12848.459000000001</v>
      </c>
      <c r="C35" s="97">
        <v>12973.052</v>
      </c>
      <c r="D35" s="890">
        <v>-0.96039852457231301</v>
      </c>
      <c r="E35" s="933">
        <v>86.665598632916797</v>
      </c>
      <c r="F35" s="934">
        <v>85.384648686090301</v>
      </c>
      <c r="G35" s="678">
        <v>1.5002110643282072</v>
      </c>
      <c r="H35" s="681">
        <v>64.569284591593572</v>
      </c>
    </row>
    <row r="36" spans="1:8" ht="15">
      <c r="A36" s="638" t="s">
        <v>313</v>
      </c>
      <c r="B36" s="146">
        <v>10824.009620651797</v>
      </c>
      <c r="C36" s="146">
        <v>10532.686775869775</v>
      </c>
      <c r="D36" s="891">
        <v>2.7658929861033958</v>
      </c>
      <c r="E36" s="935">
        <v>100</v>
      </c>
      <c r="F36" s="936">
        <v>100</v>
      </c>
      <c r="G36" s="679" t="s">
        <v>100</v>
      </c>
      <c r="H36" s="682">
        <v>18.755121805855605</v>
      </c>
    </row>
    <row r="37" spans="1:8">
      <c r="A37" s="665" t="s">
        <v>135</v>
      </c>
      <c r="B37" s="94" t="s">
        <v>257</v>
      </c>
      <c r="C37" s="94" t="s">
        <v>257</v>
      </c>
      <c r="D37" s="889" t="s">
        <v>100</v>
      </c>
      <c r="E37" s="931">
        <v>15.918572190332799</v>
      </c>
      <c r="F37" s="932">
        <v>13.324145124040825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9" t="s">
        <v>100</v>
      </c>
      <c r="E38" s="931">
        <v>19.334399799253475</v>
      </c>
      <c r="F38" s="932">
        <v>15.324443120017877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10090.308999999999</v>
      </c>
      <c r="C39" s="97">
        <v>9926.5810000000001</v>
      </c>
      <c r="D39" s="890">
        <v>1.6493896538999595</v>
      </c>
      <c r="E39" s="933">
        <v>64.747028010413715</v>
      </c>
      <c r="F39" s="934">
        <v>71.351411755941285</v>
      </c>
      <c r="G39" s="678">
        <v>-9.2561360497224321</v>
      </c>
      <c r="H39" s="681">
        <v>7.7629861654920251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1"/>
      <c r="B41" s="1191"/>
      <c r="C41" s="1191"/>
      <c r="D41" s="1191"/>
    </row>
    <row r="42" spans="1:8" ht="15">
      <c r="A42" s="130" t="s">
        <v>61</v>
      </c>
      <c r="B42" s="131"/>
    </row>
    <row r="43" spans="1:8" ht="15">
      <c r="A43" s="128" t="s">
        <v>96</v>
      </c>
      <c r="B43" s="1192" t="s">
        <v>62</v>
      </c>
      <c r="C43" s="1193"/>
      <c r="D43" s="1193"/>
      <c r="E43" s="1193"/>
      <c r="F43" s="1193"/>
      <c r="G43" s="1193"/>
      <c r="H43" s="1194"/>
    </row>
    <row r="44" spans="1:8" ht="15">
      <c r="A44" s="128" t="s">
        <v>63</v>
      </c>
      <c r="B44" s="1192" t="s">
        <v>64</v>
      </c>
      <c r="C44" s="1193"/>
      <c r="D44" s="1193"/>
      <c r="E44" s="1193"/>
      <c r="F44" s="1193"/>
      <c r="G44" s="1193"/>
      <c r="H44" s="1194"/>
    </row>
    <row r="45" spans="1:8" ht="15">
      <c r="A45" s="128" t="s">
        <v>65</v>
      </c>
      <c r="B45" s="1192" t="s">
        <v>66</v>
      </c>
      <c r="C45" s="1193"/>
      <c r="D45" s="1193"/>
      <c r="E45" s="1193"/>
      <c r="F45" s="1193"/>
      <c r="G45" s="1193"/>
      <c r="H45" s="1194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3" t="s">
        <v>384</v>
      </c>
      <c r="B2" s="904"/>
      <c r="C2" s="904"/>
      <c r="D2" s="904"/>
      <c r="E2" s="904"/>
      <c r="F2" s="122"/>
      <c r="G2" s="122"/>
      <c r="H2" s="122"/>
    </row>
    <row r="3" spans="1:8" ht="30.75" customHeight="1">
      <c r="A3" s="1195" t="s">
        <v>141</v>
      </c>
      <c r="B3" s="1197" t="s">
        <v>142</v>
      </c>
      <c r="C3" s="1197"/>
      <c r="D3" s="1198" t="s">
        <v>319</v>
      </c>
      <c r="E3" s="1199"/>
    </row>
    <row r="4" spans="1:8" ht="16.5" thickBot="1">
      <c r="A4" s="1196"/>
      <c r="B4" s="968" t="s">
        <v>143</v>
      </c>
      <c r="C4" s="968" t="s">
        <v>144</v>
      </c>
      <c r="D4" s="969" t="s">
        <v>143</v>
      </c>
      <c r="E4" s="970" t="s">
        <v>144</v>
      </c>
      <c r="G4" s="132" t="s">
        <v>145</v>
      </c>
      <c r="H4" s="133"/>
    </row>
    <row r="5" spans="1:8" ht="17.25" customHeight="1" thickBot="1">
      <c r="A5" s="962" t="s">
        <v>146</v>
      </c>
      <c r="B5" s="963">
        <v>25723.092000000001</v>
      </c>
      <c r="C5" s="963">
        <v>21964.98</v>
      </c>
      <c r="D5" s="964">
        <v>-6.6681543493587125E-2</v>
      </c>
      <c r="E5" s="965">
        <v>-0.14552898869081193</v>
      </c>
      <c r="G5" s="134" t="s">
        <v>59</v>
      </c>
      <c r="H5" s="135" t="s">
        <v>60</v>
      </c>
    </row>
    <row r="6" spans="1:8" ht="18" customHeight="1">
      <c r="A6" s="987" t="s">
        <v>147</v>
      </c>
      <c r="B6" s="1055" t="s">
        <v>257</v>
      </c>
      <c r="C6" s="988" t="s">
        <v>257</v>
      </c>
      <c r="D6" s="641" t="s">
        <v>100</v>
      </c>
      <c r="E6" s="1074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>
        <v>25839.142</v>
      </c>
      <c r="C7" s="640">
        <v>21664.934000000001</v>
      </c>
      <c r="D7" s="971">
        <v>-0.10093851789563285</v>
      </c>
      <c r="E7" s="972">
        <v>1.2213125591900136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74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74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21382.273000000001</v>
      </c>
      <c r="D10" s="641" t="s">
        <v>100</v>
      </c>
      <c r="E10" s="973">
        <v>0.33957440458453925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74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24185.581999999999</v>
      </c>
      <c r="D12" s="641" t="s">
        <v>100</v>
      </c>
      <c r="E12" s="973">
        <v>-5.0735392529229904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8" t="s">
        <v>257</v>
      </c>
      <c r="C13" s="644" t="s">
        <v>257</v>
      </c>
      <c r="D13" s="1075" t="s">
        <v>100</v>
      </c>
      <c r="E13" s="974" t="s">
        <v>100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80"/>
    </row>
    <row r="24" spans="1:4" ht="15">
      <c r="D24" s="980"/>
    </row>
    <row r="25" spans="1:4" ht="15">
      <c r="A25" s="981"/>
      <c r="D25" s="980"/>
    </row>
    <row r="26" spans="1:4" ht="15">
      <c r="A26" s="981"/>
      <c r="D26" s="980"/>
    </row>
    <row r="27" spans="1:4" ht="15">
      <c r="A27" s="981"/>
      <c r="D27" s="980"/>
    </row>
    <row r="28" spans="1:4" ht="15">
      <c r="A28" s="981"/>
      <c r="D28" s="980"/>
    </row>
    <row r="29" spans="1:4" ht="15">
      <c r="A29" s="981"/>
      <c r="D29" s="980"/>
    </row>
    <row r="30" spans="1:4" ht="15">
      <c r="A30" s="981"/>
      <c r="D30" s="980"/>
    </row>
    <row r="31" spans="1:4" ht="15">
      <c r="A31" s="981"/>
      <c r="D31" s="980"/>
    </row>
    <row r="32" spans="1:4" ht="15">
      <c r="A32" s="981"/>
      <c r="D32" s="980"/>
    </row>
    <row r="33" spans="1:13" ht="15">
      <c r="A33" s="981"/>
      <c r="D33" s="980"/>
    </row>
    <row r="34" spans="1:13" ht="15">
      <c r="A34" s="981"/>
      <c r="D34" s="980"/>
    </row>
    <row r="35" spans="1:13" ht="15">
      <c r="A35" s="981"/>
      <c r="D35" s="980"/>
      <c r="M35" s="127" t="s">
        <v>123</v>
      </c>
    </row>
    <row r="36" spans="1:13" ht="15">
      <c r="A36" s="981"/>
      <c r="D36" s="980"/>
    </row>
    <row r="37" spans="1:13" ht="15">
      <c r="A37" s="981"/>
      <c r="D37" s="980"/>
    </row>
    <row r="38" spans="1:13" ht="15">
      <c r="A38" s="981"/>
      <c r="D38" s="980"/>
    </row>
    <row r="39" spans="1:13" ht="15">
      <c r="A39" s="981"/>
      <c r="D39" s="980"/>
    </row>
    <row r="40" spans="1:13" ht="15">
      <c r="A40" s="981"/>
      <c r="D40" s="980"/>
    </row>
    <row r="41" spans="1:13" ht="15">
      <c r="A41" s="981"/>
      <c r="D41" s="980"/>
    </row>
    <row r="42" spans="1:13" ht="15">
      <c r="A42" s="981"/>
      <c r="D42" s="980"/>
    </row>
    <row r="43" spans="1:13" ht="15">
      <c r="A43" s="981"/>
      <c r="D43" s="980"/>
    </row>
    <row r="44" spans="1:13" ht="15">
      <c r="A44" s="981"/>
      <c r="D44" s="980"/>
    </row>
    <row r="45" spans="1:13" ht="15">
      <c r="D45" s="980"/>
    </row>
    <row r="46" spans="1:13" ht="15">
      <c r="A46" s="981"/>
      <c r="D46" s="980"/>
    </row>
    <row r="47" spans="1:13" ht="15">
      <c r="A47" s="981"/>
      <c r="D47" s="980"/>
    </row>
    <row r="48" spans="1:13" ht="15">
      <c r="A48" s="981"/>
      <c r="D48" s="980"/>
    </row>
    <row r="49" spans="1:4" ht="15">
      <c r="A49" s="981"/>
      <c r="D49" s="980"/>
    </row>
    <row r="50" spans="1:4" ht="15">
      <c r="A50" s="981"/>
      <c r="D50" s="980"/>
    </row>
    <row r="51" spans="1:4" ht="15">
      <c r="A51" s="981"/>
      <c r="D51" s="980"/>
    </row>
    <row r="52" spans="1:4" ht="15">
      <c r="A52" s="981"/>
      <c r="D52" s="980"/>
    </row>
    <row r="53" spans="1:4" ht="15">
      <c r="A53" s="981"/>
      <c r="D53" s="980"/>
    </row>
    <row r="54" spans="1:4" ht="15">
      <c r="A54" s="981"/>
    </row>
    <row r="55" spans="1:4" ht="15">
      <c r="A55" s="981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6" t="s">
        <v>315</v>
      </c>
      <c r="B1" s="1206"/>
      <c r="C1" s="1206"/>
      <c r="D1" s="1206"/>
      <c r="E1" s="1206"/>
      <c r="F1" s="1206"/>
      <c r="G1" s="657"/>
      <c r="H1" s="657"/>
    </row>
    <row r="2" spans="1:8" ht="13.5" customHeight="1" thickBot="1"/>
    <row r="3" spans="1:8" ht="27" customHeight="1">
      <c r="A3" s="1200" t="s">
        <v>73</v>
      </c>
      <c r="B3" s="1202" t="s">
        <v>118</v>
      </c>
      <c r="C3" s="1207" t="s">
        <v>82</v>
      </c>
      <c r="D3" s="1208"/>
      <c r="E3" s="1209"/>
      <c r="F3" s="1204" t="s">
        <v>119</v>
      </c>
      <c r="G3" s="1205"/>
      <c r="H3" s="122"/>
    </row>
    <row r="4" spans="1:8" ht="32.25" customHeight="1" thickBot="1">
      <c r="A4" s="1201"/>
      <c r="B4" s="1203"/>
      <c r="C4" s="949">
        <v>43590</v>
      </c>
      <c r="D4" s="950">
        <v>43576</v>
      </c>
      <c r="E4" s="951">
        <v>43226</v>
      </c>
      <c r="F4" s="952" t="s">
        <v>357</v>
      </c>
      <c r="G4" s="953" t="s">
        <v>120</v>
      </c>
      <c r="H4" s="122"/>
    </row>
    <row r="5" spans="1:8" ht="29.25" customHeight="1">
      <c r="A5" s="1020" t="s">
        <v>124</v>
      </c>
      <c r="B5" s="1017" t="s">
        <v>330</v>
      </c>
      <c r="C5" s="954">
        <v>713.56</v>
      </c>
      <c r="D5" s="905">
        <v>659.96199999999999</v>
      </c>
      <c r="E5" s="955">
        <v>669.1</v>
      </c>
      <c r="F5" s="1066">
        <v>8.1213766853243001</v>
      </c>
      <c r="G5" s="956">
        <v>6.6447466746375614</v>
      </c>
    </row>
    <row r="6" spans="1:8" ht="28.5" customHeight="1" thickBot="1">
      <c r="A6" s="1021" t="s">
        <v>125</v>
      </c>
      <c r="B6" s="1018" t="s">
        <v>330</v>
      </c>
      <c r="C6" s="1067">
        <v>979.9</v>
      </c>
      <c r="D6" s="1068">
        <v>955.97299999999996</v>
      </c>
      <c r="E6" s="1069">
        <v>947.1</v>
      </c>
      <c r="F6" s="1070">
        <v>2.5028949562383063</v>
      </c>
      <c r="G6" s="1059">
        <v>3.4632034632034583</v>
      </c>
    </row>
    <row r="7" spans="1:8" ht="32.25" customHeight="1" thickBot="1">
      <c r="A7" s="1022" t="s">
        <v>121</v>
      </c>
      <c r="B7" s="1019" t="s">
        <v>122</v>
      </c>
      <c r="C7" s="1067" t="s">
        <v>100</v>
      </c>
      <c r="D7" s="1071" t="s">
        <v>100</v>
      </c>
      <c r="E7" s="1072">
        <v>11.1</v>
      </c>
      <c r="F7" s="1071" t="s">
        <v>100</v>
      </c>
      <c r="G7" s="1115" t="s">
        <v>100</v>
      </c>
    </row>
    <row r="8" spans="1:8" s="122" customFormat="1" ht="15.75">
      <c r="A8" s="1009"/>
      <c r="B8" s="1010"/>
      <c r="C8"/>
      <c r="D8" s="984"/>
      <c r="E8" s="985"/>
      <c r="F8" s="986"/>
      <c r="G8" s="986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V19" sqref="V19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3" t="s">
        <v>89</v>
      </c>
      <c r="C1" s="1213"/>
      <c r="D1" s="1213"/>
      <c r="E1" s="1213"/>
      <c r="F1" s="8"/>
      <c r="G1" s="7"/>
    </row>
    <row r="2" spans="2:17" ht="20.25" thickBot="1">
      <c r="B2" s="909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3"/>
      <c r="C3" s="724" t="s">
        <v>320</v>
      </c>
      <c r="D3" s="683"/>
      <c r="E3" s="725" t="s">
        <v>69</v>
      </c>
      <c r="F3" s="1211"/>
    </row>
    <row r="4" spans="2:17" ht="34.5" customHeight="1" thickBot="1">
      <c r="B4" s="726" t="s">
        <v>43</v>
      </c>
      <c r="C4" s="648">
        <v>43588</v>
      </c>
      <c r="D4" s="648">
        <v>43574</v>
      </c>
      <c r="E4" s="727" t="s">
        <v>316</v>
      </c>
      <c r="F4" s="1212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8"/>
      <c r="D5" s="728"/>
      <c r="E5" s="729"/>
      <c r="F5" s="10"/>
      <c r="G5" s="1210" t="s">
        <v>355</v>
      </c>
      <c r="H5" s="1210"/>
      <c r="I5" s="1210"/>
      <c r="J5" s="1210"/>
      <c r="K5" s="1210"/>
      <c r="L5" s="1210"/>
      <c r="M5" s="1210"/>
      <c r="N5" s="1210"/>
      <c r="O5" s="1210"/>
      <c r="P5" s="1210"/>
      <c r="Q5" s="1210"/>
    </row>
    <row r="6" spans="2:17" ht="21" customHeight="1">
      <c r="B6" s="959" t="s">
        <v>44</v>
      </c>
      <c r="C6" s="940" t="s">
        <v>100</v>
      </c>
      <c r="D6" s="940">
        <v>10.85</v>
      </c>
      <c r="E6" s="941" t="s">
        <v>100</v>
      </c>
      <c r="F6" s="10"/>
      <c r="G6" s="1210"/>
      <c r="H6" s="1210"/>
      <c r="I6" s="1210"/>
      <c r="J6" s="1210"/>
      <c r="K6" s="1210"/>
      <c r="L6" s="1210"/>
      <c r="M6" s="1210"/>
      <c r="N6" s="1210"/>
      <c r="O6" s="1210"/>
      <c r="P6" s="1210"/>
      <c r="Q6" s="1210"/>
    </row>
    <row r="7" spans="2:17" ht="15.75">
      <c r="B7" s="650" t="s">
        <v>45</v>
      </c>
      <c r="C7" s="651" t="s">
        <v>100</v>
      </c>
      <c r="D7" s="651">
        <v>17</v>
      </c>
      <c r="E7" s="942" t="s">
        <v>100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 t="s">
        <v>257</v>
      </c>
      <c r="D8" s="658">
        <v>12.68</v>
      </c>
      <c r="E8" s="1056" t="s">
        <v>100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 t="s">
        <v>100</v>
      </c>
      <c r="D9" s="659">
        <v>114</v>
      </c>
      <c r="E9" s="943" t="s">
        <v>100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 t="s">
        <v>100</v>
      </c>
      <c r="D10" s="659">
        <v>81</v>
      </c>
      <c r="E10" s="943" t="s">
        <v>100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60" t="s">
        <v>354</v>
      </c>
      <c r="C11" s="944" t="s">
        <v>100</v>
      </c>
      <c r="D11" s="944">
        <v>3</v>
      </c>
      <c r="E11" s="945" t="s">
        <v>100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6"/>
      <c r="D12" s="946"/>
      <c r="E12" s="947"/>
      <c r="F12" s="10"/>
      <c r="G12" s="23"/>
      <c r="H12" s="23"/>
      <c r="I12" s="24"/>
      <c r="J12" s="13"/>
      <c r="K12" s="12"/>
      <c r="L12" s="14"/>
    </row>
    <row r="13" spans="2:17" ht="15.75">
      <c r="B13" s="959" t="s">
        <v>44</v>
      </c>
      <c r="C13" s="940" t="s">
        <v>100</v>
      </c>
      <c r="D13" s="961">
        <v>7.1</v>
      </c>
      <c r="E13" s="941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 t="s">
        <v>100</v>
      </c>
      <c r="D14" s="651">
        <v>7.1</v>
      </c>
      <c r="E14" s="942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>
        <v>7.1</v>
      </c>
      <c r="E15" s="1073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100</v>
      </c>
      <c r="D16" s="659">
        <v>160</v>
      </c>
      <c r="E16" s="943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100</v>
      </c>
      <c r="D17" s="659">
        <v>136</v>
      </c>
      <c r="E17" s="943" t="s">
        <v>100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60" t="s">
        <v>354</v>
      </c>
      <c r="C18" s="944" t="s">
        <v>100</v>
      </c>
      <c r="D18" s="944">
        <v>3</v>
      </c>
      <c r="E18" s="945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6"/>
      <c r="D19" s="946"/>
      <c r="E19" s="947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9" t="s">
        <v>44</v>
      </c>
      <c r="C20" s="940" t="s">
        <v>100</v>
      </c>
      <c r="D20" s="940">
        <v>5</v>
      </c>
      <c r="E20" s="941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 t="s">
        <v>100</v>
      </c>
      <c r="D21" s="651">
        <v>5</v>
      </c>
      <c r="E21" s="942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>
        <v>5</v>
      </c>
      <c r="E22" s="1056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100</v>
      </c>
      <c r="D23" s="659">
        <v>100</v>
      </c>
      <c r="E23" s="943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100</v>
      </c>
      <c r="D24" s="659">
        <v>83</v>
      </c>
      <c r="E24" s="943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354</v>
      </c>
      <c r="C25" s="668" t="s">
        <v>100</v>
      </c>
      <c r="D25" s="668">
        <v>3</v>
      </c>
      <c r="E25" s="948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5"/>
      <c r="C26" s="7"/>
      <c r="D26" s="7"/>
      <c r="E26" s="7"/>
      <c r="F26" s="7"/>
      <c r="G26" s="7"/>
    </row>
    <row r="27" spans="2:15" s="122" customFormat="1" ht="15">
      <c r="B27" s="635" t="s">
        <v>95</v>
      </c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Pachnicki Adam</cp:lastModifiedBy>
  <cp:lastPrinted>2017-01-05T10:25:59Z</cp:lastPrinted>
  <dcterms:created xsi:type="dcterms:W3CDTF">2005-01-11T09:21:45Z</dcterms:created>
  <dcterms:modified xsi:type="dcterms:W3CDTF">2019-05-10T07:18:06Z</dcterms:modified>
</cp:coreProperties>
</file>